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80" windowWidth="11355" windowHeight="5775" tabRatio="487"/>
  </bookViews>
  <sheets>
    <sheet name="доходы 1" sheetId="3" r:id="rId1"/>
  </sheets>
  <definedNames>
    <definedName name="а6">#REF!</definedName>
    <definedName name="_xlnm.Print_Area" localSheetId="0">'доходы 1'!$A$1:$AA$54</definedName>
  </definedNames>
  <calcPr calcId="144525" refMode="R1C1"/>
</workbook>
</file>

<file path=xl/calcChain.xml><?xml version="1.0" encoding="utf-8"?>
<calcChain xmlns="http://schemas.openxmlformats.org/spreadsheetml/2006/main">
  <c r="J13" i="3" l="1"/>
  <c r="J15" i="3" l="1"/>
  <c r="AA44" i="3" l="1"/>
  <c r="Z44" i="3"/>
  <c r="K44" i="3"/>
  <c r="K45" i="3"/>
  <c r="AA32" i="3"/>
  <c r="Z32" i="3"/>
  <c r="K32" i="3"/>
  <c r="J43" i="3"/>
  <c r="J44" i="3" l="1"/>
  <c r="J41" i="3"/>
  <c r="J30" i="3"/>
  <c r="J29" i="3" l="1"/>
  <c r="J26" i="3"/>
  <c r="J25" i="3"/>
  <c r="J37" i="3"/>
  <c r="J20" i="3"/>
  <c r="J16" i="3"/>
  <c r="J12" i="3"/>
  <c r="E36" i="3" l="1"/>
  <c r="E24" i="3"/>
  <c r="E23" i="3"/>
  <c r="E17" i="3"/>
  <c r="E9" i="3" s="1"/>
  <c r="E47" i="3" s="1"/>
  <c r="E14" i="3"/>
  <c r="E11" i="3"/>
  <c r="D36" i="3" l="1"/>
  <c r="C36" i="3"/>
  <c r="D24" i="3"/>
  <c r="D23" i="3" s="1"/>
  <c r="C24" i="3"/>
  <c r="C23" i="3" s="1"/>
  <c r="D17" i="3"/>
  <c r="C17" i="3"/>
  <c r="D14" i="3"/>
  <c r="C14" i="3"/>
  <c r="D11" i="3"/>
  <c r="D9" i="3" s="1"/>
  <c r="D47" i="3" s="1"/>
  <c r="C11" i="3"/>
  <c r="C9" i="3" s="1"/>
  <c r="C47" i="3" s="1"/>
  <c r="J45" i="3" l="1"/>
  <c r="AA17" i="3" l="1"/>
  <c r="Z17" i="3"/>
  <c r="J18" i="3"/>
  <c r="T18" i="3"/>
  <c r="Q18" i="3"/>
  <c r="J40" i="3"/>
  <c r="J27" i="3"/>
  <c r="J19" i="3"/>
  <c r="AA24" i="3" l="1"/>
  <c r="Z24" i="3"/>
  <c r="AA36" i="3"/>
  <c r="Z36" i="3"/>
  <c r="K36" i="3"/>
  <c r="AA23" i="3" l="1"/>
  <c r="Z23" i="3"/>
  <c r="Q35" i="3"/>
  <c r="T35" i="3" s="1"/>
  <c r="H31" i="3" l="1"/>
  <c r="F36" i="3"/>
  <c r="F24" i="3"/>
  <c r="F17" i="3"/>
  <c r="F14" i="3"/>
  <c r="F11" i="3"/>
  <c r="F23" i="3" l="1"/>
  <c r="S27" i="3"/>
  <c r="Q27" i="3"/>
  <c r="T27" i="3" s="1"/>
  <c r="J35" i="3" l="1"/>
  <c r="J32" i="3"/>
  <c r="S12" i="3" l="1"/>
  <c r="Q12" i="3"/>
  <c r="T12" i="3" s="1"/>
  <c r="S11" i="3" l="1"/>
  <c r="Q11" i="3" l="1"/>
  <c r="H45" i="3" l="1"/>
  <c r="H44" i="3"/>
  <c r="H40" i="3"/>
  <c r="H37" i="3"/>
  <c r="H32" i="3"/>
  <c r="H30" i="3"/>
  <c r="H29" i="3"/>
  <c r="H28" i="3"/>
  <c r="H26" i="3"/>
  <c r="H25" i="3"/>
  <c r="H19" i="3"/>
  <c r="H18" i="3"/>
  <c r="H16" i="3"/>
  <c r="H15" i="3"/>
  <c r="H12" i="3"/>
  <c r="K17" i="3"/>
  <c r="F9" i="3" l="1"/>
  <c r="F47" i="3" s="1"/>
  <c r="K11" i="3" l="1"/>
  <c r="Q25" i="3"/>
  <c r="Q13" i="3"/>
  <c r="Q28" i="3"/>
  <c r="I24" i="3"/>
  <c r="I36" i="3"/>
  <c r="I17" i="3"/>
  <c r="G17" i="3"/>
  <c r="I23" i="3" l="1"/>
  <c r="J14" i="3"/>
  <c r="J17" i="3"/>
  <c r="M19" i="3"/>
  <c r="O19" i="3"/>
  <c r="Q19" i="3"/>
  <c r="Q17" i="3" s="1"/>
  <c r="S19" i="3"/>
  <c r="T19" i="3" l="1"/>
  <c r="T17" i="3" s="1"/>
  <c r="T13" i="3"/>
  <c r="I14" i="3" l="1"/>
  <c r="AA14" i="3" l="1"/>
  <c r="Z14" i="3"/>
  <c r="Q44" i="3"/>
  <c r="T44" i="3" s="1"/>
  <c r="Q40" i="3"/>
  <c r="T40" i="3" s="1"/>
  <c r="Q37" i="3"/>
  <c r="T37" i="3" s="1"/>
  <c r="O37" i="3"/>
  <c r="Q32" i="3"/>
  <c r="T32" i="3" s="1"/>
  <c r="Q30" i="3"/>
  <c r="O30" i="3"/>
  <c r="Q15" i="3"/>
  <c r="T15" i="3" s="1"/>
  <c r="Q20" i="3"/>
  <c r="T20" i="3" s="1"/>
  <c r="Q16" i="3"/>
  <c r="O12" i="3"/>
  <c r="T25" i="3"/>
  <c r="O25" i="3"/>
  <c r="K14" i="3"/>
  <c r="K9" i="3" s="1"/>
  <c r="J28" i="3"/>
  <c r="Q14" i="3" l="1"/>
  <c r="T14" i="3" s="1"/>
  <c r="J36" i="3"/>
  <c r="G14" i="3"/>
  <c r="M33" i="3" l="1"/>
  <c r="S33" i="3"/>
  <c r="Y36" i="3" l="1"/>
  <c r="X36" i="3"/>
  <c r="W36" i="3"/>
  <c r="V36" i="3"/>
  <c r="U36" i="3"/>
  <c r="S36" i="3"/>
  <c r="R36" i="3"/>
  <c r="Q36" i="3"/>
  <c r="O36" i="3"/>
  <c r="M36" i="3"/>
  <c r="L36" i="3"/>
  <c r="O24" i="3" l="1"/>
  <c r="P47" i="3"/>
  <c r="P51" i="3" s="1"/>
  <c r="Y23" i="3"/>
  <c r="Y17" i="3"/>
  <c r="Y9" i="3" s="1"/>
  <c r="X17" i="3"/>
  <c r="W17" i="3"/>
  <c r="V17" i="3"/>
  <c r="U17" i="3"/>
  <c r="R17" i="3"/>
  <c r="R9" i="3" s="1"/>
  <c r="N17" i="3"/>
  <c r="N9" i="3" s="1"/>
  <c r="N47" i="3" s="1"/>
  <c r="N51" i="3" s="1"/>
  <c r="L17" i="3"/>
  <c r="T36" i="3"/>
  <c r="AA11" i="3"/>
  <c r="AA9" i="3" s="1"/>
  <c r="Z11" i="3"/>
  <c r="Z9" i="3" s="1"/>
  <c r="O14" i="3"/>
  <c r="G11" i="3"/>
  <c r="G9" i="3" s="1"/>
  <c r="G24" i="3"/>
  <c r="G36" i="3"/>
  <c r="S25" i="3"/>
  <c r="T28" i="3"/>
  <c r="S28" i="3"/>
  <c r="Q29" i="3"/>
  <c r="S29" i="3"/>
  <c r="Q26" i="3"/>
  <c r="T26" i="3" s="1"/>
  <c r="S26" i="3"/>
  <c r="S30" i="3"/>
  <c r="T30" i="3" s="1"/>
  <c r="Q31" i="3"/>
  <c r="S31" i="3"/>
  <c r="Q45" i="3"/>
  <c r="S45" i="3"/>
  <c r="T16" i="3"/>
  <c r="K24" i="3"/>
  <c r="O45" i="3"/>
  <c r="O17" i="3"/>
  <c r="M45" i="3"/>
  <c r="M31" i="3"/>
  <c r="M30" i="3"/>
  <c r="M29" i="3"/>
  <c r="M28" i="3"/>
  <c r="M26" i="3"/>
  <c r="M25" i="3"/>
  <c r="M17" i="3"/>
  <c r="M14" i="3"/>
  <c r="I11" i="3"/>
  <c r="I9" i="3" s="1"/>
  <c r="I47" i="3" s="1"/>
  <c r="J24" i="3"/>
  <c r="J23" i="3" s="1"/>
  <c r="J11" i="3"/>
  <c r="J9" i="3" s="1"/>
  <c r="L24" i="3"/>
  <c r="L23" i="3" s="1"/>
  <c r="L20" i="3"/>
  <c r="L14" i="3"/>
  <c r="L11" i="3"/>
  <c r="R24" i="3"/>
  <c r="R23" i="3" s="1"/>
  <c r="U24" i="3"/>
  <c r="U23" i="3" s="1"/>
  <c r="U20" i="3"/>
  <c r="U14" i="3"/>
  <c r="U11" i="3"/>
  <c r="V24" i="3"/>
  <c r="V23" i="3" s="1"/>
  <c r="V20" i="3"/>
  <c r="V14" i="3"/>
  <c r="V11" i="3"/>
  <c r="W24" i="3"/>
  <c r="W23" i="3" s="1"/>
  <c r="W20" i="3"/>
  <c r="W14" i="3"/>
  <c r="W11" i="3"/>
  <c r="X24" i="3"/>
  <c r="X23" i="3" s="1"/>
  <c r="X20" i="3"/>
  <c r="X14" i="3"/>
  <c r="X11" i="3"/>
  <c r="M20" i="3"/>
  <c r="Q9" i="3"/>
  <c r="G23" i="3" l="1"/>
  <c r="S17" i="3"/>
  <c r="S9" i="3" s="1"/>
  <c r="T45" i="3"/>
  <c r="Q24" i="3"/>
  <c r="Q23" i="3" s="1"/>
  <c r="X9" i="3"/>
  <c r="X47" i="3" s="1"/>
  <c r="X51" i="3" s="1"/>
  <c r="W9" i="3"/>
  <c r="W47" i="3" s="1"/>
  <c r="W51" i="3" s="1"/>
  <c r="T29" i="3"/>
  <c r="V9" i="3"/>
  <c r="V47" i="3" s="1"/>
  <c r="V51" i="3" s="1"/>
  <c r="U9" i="3"/>
  <c r="U47" i="3" s="1"/>
  <c r="U51" i="3" s="1"/>
  <c r="R47" i="3"/>
  <c r="L9" i="3"/>
  <c r="L47" i="3" s="1"/>
  <c r="L51" i="3" s="1"/>
  <c r="Z47" i="3"/>
  <c r="Z51" i="3" s="1"/>
  <c r="Y47" i="3"/>
  <c r="Y51" i="3" s="1"/>
  <c r="I51" i="3"/>
  <c r="T31" i="3"/>
  <c r="S24" i="3"/>
  <c r="S23" i="3" s="1"/>
  <c r="O23" i="3"/>
  <c r="M24" i="3"/>
  <c r="M23" i="3" s="1"/>
  <c r="O11" i="3"/>
  <c r="O9" i="3" s="1"/>
  <c r="T11" i="3"/>
  <c r="T9" i="3" l="1"/>
  <c r="G47" i="3"/>
  <c r="G51" i="3" s="1"/>
  <c r="T24" i="3"/>
  <c r="T23" i="3" s="1"/>
  <c r="AA47" i="3"/>
  <c r="J47" i="3"/>
  <c r="J51" i="3" s="1"/>
  <c r="S47" i="3"/>
  <c r="S51" i="3" s="1"/>
  <c r="O47" i="3"/>
  <c r="O51" i="3" s="1"/>
  <c r="Q47" i="3"/>
  <c r="Q51" i="3" s="1"/>
  <c r="M12" i="3"/>
  <c r="M11" i="3" s="1"/>
  <c r="M9" i="3" s="1"/>
  <c r="M47" i="3" s="1"/>
  <c r="M51" i="3" s="1"/>
  <c r="K23" i="3"/>
  <c r="T47" i="3" l="1"/>
  <c r="T51" i="3" s="1"/>
  <c r="K47" i="3"/>
  <c r="K51" i="3" s="1"/>
  <c r="E51" i="3"/>
</calcChain>
</file>

<file path=xl/sharedStrings.xml><?xml version="1.0" encoding="utf-8"?>
<sst xmlns="http://schemas.openxmlformats.org/spreadsheetml/2006/main" count="126" uniqueCount="109">
  <si>
    <t xml:space="preserve">Наименование доходов </t>
  </si>
  <si>
    <t>Код доходов бюджетной классификации Российской Федерации</t>
  </si>
  <si>
    <t>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</si>
  <si>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</si>
  <si>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</si>
  <si>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</si>
  <si>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</si>
  <si>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</si>
  <si>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</si>
  <si>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</si>
  <si>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</si>
  <si>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Штрафы, санкции, возмещение ущерба</t>
  </si>
  <si>
    <t>Итого доходов</t>
  </si>
  <si>
    <t>федеральный бюджет</t>
  </si>
  <si>
    <t>%</t>
  </si>
  <si>
    <t>сумма</t>
  </si>
  <si>
    <t>бюджет субъекта РФ</t>
  </si>
  <si>
    <t>местный бюджет</t>
  </si>
  <si>
    <t>к поступлению:</t>
  </si>
  <si>
    <t>% по спец.режиму</t>
  </si>
  <si>
    <t>предложено субъектом к поступлению в местный бюджет</t>
  </si>
  <si>
    <t>Всего</t>
  </si>
  <si>
    <t>Прочие неналоговые доходы</t>
  </si>
  <si>
    <t>Единый налог на вмененный доход для отдельных видов деятельности</t>
  </si>
  <si>
    <t>000 1 16 00000 00 0000 140</t>
  </si>
  <si>
    <t>Денежные взыскания (штарфы) за нарушение законодательства о налогах и сборах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</si>
  <si>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</si>
  <si>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</si>
  <si>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денежных взысканий (штрафов) и иных сумм в возмещение ущерба, зачисляемые в бюджеты городских округов </t>
  </si>
  <si>
    <t>% по  един. нормативам</t>
  </si>
  <si>
    <t>001 1 11 07014 04 0000 120</t>
  </si>
  <si>
    <t>000 1 01 02000 00 0000 000</t>
  </si>
  <si>
    <t>000 1 01 00000 00 0000 000</t>
  </si>
  <si>
    <t>000 1 05 00000 00 0000 000</t>
  </si>
  <si>
    <t>000 1 05 02000 02 0000 110</t>
  </si>
  <si>
    <t>Земельный налог</t>
  </si>
  <si>
    <t>000 1 06 00000 00 0000 110</t>
  </si>
  <si>
    <t>Денежные взыскания (штрафы) за административные правонарушения в области дорожного движения</t>
  </si>
  <si>
    <t>000 1 16 90040 04 0000 140</t>
  </si>
  <si>
    <t>000 1 17 00000 00 0000 000</t>
  </si>
  <si>
    <t>000 108 0301001 0000 110</t>
  </si>
  <si>
    <t>000 1 09 00000 00 0000 000</t>
  </si>
  <si>
    <t>000  1 11 05024 04 0000 120</t>
  </si>
  <si>
    <t>000 1 11 09044 04 0000 120</t>
  </si>
  <si>
    <t>000 1 16 03010 01 0000 140</t>
  </si>
  <si>
    <t>Задолженность и перерасчеты по отмененным налогам, сборам и платежам</t>
  </si>
  <si>
    <t>000 1 13 02994 04 0000 130</t>
  </si>
  <si>
    <t>Возврат остатков субвенций и субсидий прошлых лет</t>
  </si>
  <si>
    <t>Безвозмездные поступления</t>
  </si>
  <si>
    <t>ИТОГО ДОХОДОВ</t>
  </si>
  <si>
    <t>Доходы от компенсации затрат государства</t>
  </si>
  <si>
    <t xml:space="preserve">приложение №1 </t>
  </si>
  <si>
    <t>к пояснительной записке</t>
  </si>
  <si>
    <t>000 1 13 01994 04 0000 130</t>
  </si>
  <si>
    <t>Доходы от уплаты акцизов на нефтепродукты в муниципальные дорожные фонды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</si>
  <si>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</si>
  <si>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</si>
  <si>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000 106 06000 00 0000 110</t>
  </si>
  <si>
    <t>000 1 11 00000 00 0000 000</t>
  </si>
  <si>
    <t>000 1 11 05012 04 0000 120</t>
  </si>
  <si>
    <t>000 1 16 33000 01 0000 140</t>
  </si>
  <si>
    <t>Денежные взыскания (штрафы) за нарушение законодательства РФ о размещении заказов на поставки товаров,выполнение работ,оказание услуг</t>
  </si>
  <si>
    <t>000 1 03 00000 00 0000 110</t>
  </si>
  <si>
    <t>000 1 05 01000 01 0000 110</t>
  </si>
  <si>
    <t>Прочие доходы от компенсации затрат бюджетов городских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</si>
  <si>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</si>
  <si>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000 108 0701001 0000 110</t>
  </si>
  <si>
    <t>000 113 03040 04 0000 130</t>
  </si>
  <si>
    <t>000 1 16 25030 01 0000 140</t>
  </si>
  <si>
    <t>000  112 00000 00 0000 000</t>
  </si>
  <si>
    <t>Денежные взыскания (штрафы) за нарушение законодательства Российской Федерации об охране и использовании животного мира</t>
  </si>
  <si>
    <t>Прочие доходы от оказания платных услуг получателями средств бюджетов городских округов и компенсации затрат бюджетов</t>
  </si>
  <si>
    <t>Доходы от реализации имущества, находящегося в собственности городских округов</t>
  </si>
  <si>
    <t>Государственная пошлина за государственную регистрацию,а так же за совершение прочих юридически значимых действий</t>
  </si>
  <si>
    <t xml:space="preserve"> ИФНС</t>
  </si>
  <si>
    <t>ИФНС</t>
  </si>
  <si>
    <t>из плана МФ МО</t>
  </si>
  <si>
    <t>ОЭ и МИ</t>
  </si>
  <si>
    <t>рублей</t>
  </si>
  <si>
    <t>% по доп. нормативу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</si>
  <si>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</si>
  <si>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Налог , взимаемый в связи с применением упрощенной системы налогообложения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</si>
  <si>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</si>
  <si>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</si>
  <si>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000 114 00000 00 0000 000</t>
  </si>
  <si>
    <t>000  1 11 05324 04 0000 120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</si>
  <si>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</si>
  <si>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Исполнение за 2015 год</t>
  </si>
  <si>
    <t>Росприроднадзор</t>
  </si>
  <si>
    <t>ООКСМП+Адм.+ФО</t>
  </si>
  <si>
    <t>ООКСМП+Адм.+ФО+ОВД</t>
  </si>
  <si>
    <t>Адм.</t>
  </si>
  <si>
    <t>ОВД</t>
  </si>
  <si>
    <t>Доходы от оказания платных услуг</t>
  </si>
  <si>
    <t>Исполнение за 2016 год</t>
  </si>
  <si>
    <t>проект на 2020 год</t>
  </si>
  <si>
    <t>000 1 16 03030 01 0000 140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</si>
  <si>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</si>
  <si>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ПРОЕКТ БЮДЖЕТА  ЗАТО г.ОСТРОВНОЙ МУРМАНСКОЙ ОБЛАСТИ  В ЧАСТИ СОБСТВЕННЫХ ДОХОДОВ НА 2019 ГОД И НА ПЛАНОВЫЙ ПЕРИОД 2020 И 2021 ГОДОВ</t>
  </si>
  <si>
    <t>Исполнение за 2017 год</t>
  </si>
  <si>
    <t>Исполнение за 4 квартал 2017 год</t>
  </si>
  <si>
    <t>Уточненный план 2018 года</t>
  </si>
  <si>
    <t>Исполнение на 01.11.2018</t>
  </si>
  <si>
    <t>Ожидаемое исполнение 2018 год</t>
  </si>
  <si>
    <t>Проект на 2019 год</t>
  </si>
  <si>
    <t>проект на 2021 год</t>
  </si>
  <si>
    <t>000 1 16 30030 01 0000 140</t>
  </si>
  <si>
    <t>000 1 16 43000 01 0000 140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</si>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</sst>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#,##0.00_ ;\-#,##0.00\ "/>
  </numFmts>
  <fonts count="33" x14ac:knownFonts="1">
    <font>
      <sz val="10"/>
      <name val="Arial Cyr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b/>
      <sz val="12"/>
      <name val="Times New Roman Cyr"/>
      <family val="1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b/>
      <sz val="11"/>
      <name val="Arial Cyr"/>
      <charset val="204"/>
    </font>
    <font>
      <b/>
      <sz val="8"/>
      <name val="Book Antiqua"/>
      <family val="1"/>
      <charset val="204"/>
    </font>
    <font>
      <b/>
      <i/>
      <sz val="12"/>
      <name val="Times New Roman Cyr"/>
      <charset val="204"/>
    </font>
    <font>
      <b/>
      <sz val="10"/>
      <name val="Arial Cyr"/>
      <charset val="204"/>
    </font>
    <font>
      <sz val="7"/>
      <name val="Times New Roman Cyr"/>
      <family val="1"/>
      <charset val="204"/>
    </font>
    <font>
      <sz val="7"/>
      <name val="Arial Cyr"/>
      <charset val="204"/>
    </font>
    <font>
      <b/>
      <sz val="7"/>
      <name val="Arial Cyr"/>
      <charset val="204"/>
    </font>
    <font>
      <sz val="9"/>
      <name val="Arial Cyr"/>
      <charset val="204"/>
    </font>
    <font>
      <b/>
      <i/>
      <sz val="12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i/>
      <sz val="12"/>
      <name val="Arial Cyr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name val="Arial"/>
      <family val="2"/>
      <charset val="204"/>
    </font>
    <font>
      <sz val="12"/>
      <name val="Albertus Extra Bold"/>
      <family val="2"/>
    </font>
    <font>
      <b/>
      <sz val="12"/>
      <name val="Times New Roman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sz val="12"/>
      <name val="Albertus Extra Bold"/>
      <family val="2"/>
    </font>
    <font>
      <b/>
      <sz val="12"/>
      <name val="Arial Black"/>
      <family val="2"/>
      <charset val="204"/>
    </font>
    <font>
      <sz val="12"/>
      <name val="Arial Black"/>
      <family val="2"/>
      <charset val="204"/>
    </font>
    <font>
      <b/>
      <sz val="12"/>
      <name val="Times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224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5" fillId="0" borderId="0" xfId="0" applyFont="1"/>
    <xf numFmtId="3" fontId="0" fillId="0" borderId="0" xfId="0" applyNumberFormat="1"/>
    <xf numFmtId="3" fontId="9" fillId="0" borderId="0" xfId="0" applyNumberFormat="1" applyFont="1"/>
    <xf numFmtId="3" fontId="1" fillId="0" borderId="0" xfId="0" applyNumberFormat="1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3" fontId="6" fillId="0" borderId="0" xfId="0" applyNumberFormat="1" applyFont="1"/>
    <xf numFmtId="4" fontId="9" fillId="0" borderId="0" xfId="0" applyNumberFormat="1" applyFont="1"/>
    <xf numFmtId="164" fontId="14" fillId="0" borderId="0" xfId="0" applyNumberFormat="1" applyFont="1"/>
    <xf numFmtId="164" fontId="20" fillId="0" borderId="0" xfId="0" applyNumberFormat="1" applyFont="1"/>
    <xf numFmtId="0" fontId="14" fillId="0" borderId="0" xfId="0" applyFont="1" applyAlignment="1">
      <alignment horizontal="center"/>
    </xf>
    <xf numFmtId="3" fontId="14" fillId="0" borderId="0" xfId="0" applyNumberFormat="1" applyFont="1"/>
    <xf numFmtId="0" fontId="0" fillId="0" borderId="0" xfId="0" applyAlignment="1">
      <alignment horizontal="right"/>
    </xf>
    <xf numFmtId="164" fontId="5" fillId="0" borderId="0" xfId="0" applyNumberFormat="1" applyFont="1" applyBorder="1" applyAlignment="1">
      <alignment horizontal="center" vertical="center" wrapText="1"/>
    </xf>
    <xf numFmtId="164" fontId="17" fillId="2" borderId="0" xfId="0" applyNumberFormat="1" applyFont="1" applyFill="1" applyBorder="1" applyAlignment="1">
      <alignment horizontal="center" vertical="center" wrapText="1"/>
    </xf>
    <xf numFmtId="164" fontId="16" fillId="2" borderId="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164" fontId="17" fillId="0" borderId="0" xfId="0" applyNumberFormat="1" applyFont="1" applyBorder="1" applyAlignment="1">
      <alignment horizontal="center" vertical="center" wrapText="1"/>
    </xf>
    <xf numFmtId="49" fontId="16" fillId="0" borderId="0" xfId="0" applyNumberFormat="1" applyFont="1" applyBorder="1" applyAlignment="1">
      <alignment horizontal="center" vertical="center" wrapText="1"/>
    </xf>
    <xf numFmtId="164" fontId="18" fillId="2" borderId="0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24" fillId="0" borderId="0" xfId="0" applyFont="1" applyBorder="1" applyAlignment="1">
      <alignment horizontal="center" vertical="center" wrapText="1"/>
    </xf>
    <xf numFmtId="4" fontId="24" fillId="0" borderId="7" xfId="0" applyNumberFormat="1" applyFont="1" applyBorder="1" applyAlignment="1">
      <alignment horizontal="right" vertical="center" wrapText="1"/>
    </xf>
    <xf numFmtId="4" fontId="26" fillId="0" borderId="0" xfId="0" applyNumberFormat="1" applyFont="1" applyAlignment="1">
      <alignment horizontal="right"/>
    </xf>
    <xf numFmtId="4" fontId="27" fillId="0" borderId="0" xfId="0" applyNumberFormat="1" applyFont="1" applyAlignment="1">
      <alignment horizontal="right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16" fillId="0" borderId="1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0" fillId="3" borderId="0" xfId="0" applyFill="1"/>
    <xf numFmtId="0" fontId="26" fillId="0" borderId="12" xfId="0" applyFont="1" applyBorder="1"/>
    <xf numFmtId="0" fontId="26" fillId="0" borderId="0" xfId="0" applyFont="1" applyBorder="1"/>
    <xf numFmtId="0" fontId="23" fillId="0" borderId="3" xfId="0" applyFont="1" applyBorder="1" applyAlignment="1">
      <alignment horizontal="center" vertical="center" wrapText="1"/>
    </xf>
    <xf numFmtId="3" fontId="23" fillId="0" borderId="14" xfId="0" applyNumberFormat="1" applyFont="1" applyBorder="1" applyAlignment="1">
      <alignment horizontal="center" vertical="center" wrapText="1"/>
    </xf>
    <xf numFmtId="3" fontId="23" fillId="0" borderId="3" xfId="0" applyNumberFormat="1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wrapText="1"/>
    </xf>
    <xf numFmtId="0" fontId="23" fillId="0" borderId="3" xfId="0" applyFont="1" applyFill="1" applyBorder="1" applyAlignment="1">
      <alignment horizontal="center" vertical="center" wrapText="1"/>
    </xf>
    <xf numFmtId="3" fontId="23" fillId="0" borderId="15" xfId="0" applyNumberFormat="1" applyFont="1" applyFill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3" xfId="0" applyFont="1" applyBorder="1" applyAlignment="1">
      <alignment wrapText="1"/>
    </xf>
    <xf numFmtId="0" fontId="26" fillId="0" borderId="17" xfId="0" applyFont="1" applyBorder="1"/>
    <xf numFmtId="0" fontId="24" fillId="0" borderId="9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/>
    </xf>
    <xf numFmtId="3" fontId="24" fillId="0" borderId="8" xfId="0" applyNumberFormat="1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3" fontId="24" fillId="0" borderId="7" xfId="0" applyNumberFormat="1" applyFont="1" applyBorder="1" applyAlignment="1">
      <alignment horizontal="center"/>
    </xf>
    <xf numFmtId="0" fontId="27" fillId="0" borderId="7" xfId="0" applyFont="1" applyBorder="1" applyAlignment="1">
      <alignment horizontal="center"/>
    </xf>
    <xf numFmtId="3" fontId="27" fillId="0" borderId="10" xfId="0" applyNumberFormat="1" applyFont="1" applyBorder="1" applyAlignment="1">
      <alignment horizontal="center"/>
    </xf>
    <xf numFmtId="0" fontId="29" fillId="0" borderId="11" xfId="0" applyFont="1" applyBorder="1" applyAlignment="1">
      <alignment horizontal="center"/>
    </xf>
    <xf numFmtId="0" fontId="29" fillId="0" borderId="7" xfId="0" applyFont="1" applyBorder="1" applyAlignment="1">
      <alignment horizontal="center"/>
    </xf>
    <xf numFmtId="0" fontId="24" fillId="0" borderId="1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left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22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left" vertical="center" wrapText="1"/>
    </xf>
    <xf numFmtId="0" fontId="31" fillId="0" borderId="3" xfId="0" applyFont="1" applyBorder="1" applyAlignment="1">
      <alignment horizontal="center" vertical="center" wrapText="1"/>
    </xf>
    <xf numFmtId="0" fontId="32" fillId="0" borderId="0" xfId="0" applyFont="1"/>
    <xf numFmtId="0" fontId="32" fillId="0" borderId="0" xfId="0" applyFont="1" applyAlignment="1">
      <alignment horizontal="right"/>
    </xf>
    <xf numFmtId="0" fontId="23" fillId="0" borderId="13" xfId="0" applyFont="1" applyBorder="1" applyAlignment="1">
      <alignment horizontal="center" vertical="center" wrapText="1"/>
    </xf>
    <xf numFmtId="4" fontId="0" fillId="0" borderId="0" xfId="0" applyNumberFormat="1"/>
    <xf numFmtId="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4" fontId="5" fillId="0" borderId="27" xfId="0" applyNumberFormat="1" applyFont="1" applyBorder="1" applyAlignment="1">
      <alignment horizontal="center" vertical="center" wrapText="1"/>
    </xf>
    <xf numFmtId="4" fontId="17" fillId="2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 wrapText="1"/>
    </xf>
    <xf numFmtId="4" fontId="17" fillId="0" borderId="4" xfId="0" applyNumberFormat="1" applyFont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4" fontId="17" fillId="0" borderId="28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" fontId="16" fillId="0" borderId="2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164" fontId="16" fillId="3" borderId="5" xfId="0" applyNumberFormat="1" applyFont="1" applyFill="1" applyBorder="1" applyAlignment="1">
      <alignment horizontal="center" vertical="center"/>
    </xf>
    <xf numFmtId="164" fontId="16" fillId="3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/>
    </xf>
    <xf numFmtId="0" fontId="26" fillId="3" borderId="0" xfId="0" applyFont="1" applyFill="1" applyBorder="1" applyAlignment="1">
      <alignment horizontal="center" vertical="center"/>
    </xf>
    <xf numFmtId="165" fontId="17" fillId="3" borderId="1" xfId="1" applyNumberFormat="1" applyFont="1" applyFill="1" applyBorder="1" applyAlignment="1">
      <alignment horizontal="center" vertical="center" wrapText="1"/>
    </xf>
    <xf numFmtId="4" fontId="17" fillId="3" borderId="1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4" fontId="17" fillId="3" borderId="6" xfId="0" applyNumberFormat="1" applyFont="1" applyFill="1" applyBorder="1" applyAlignment="1">
      <alignment horizontal="center" vertic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4" fontId="16" fillId="3" borderId="6" xfId="0" applyNumberFormat="1" applyFont="1" applyFill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43" fontId="17" fillId="3" borderId="1" xfId="1" applyFont="1" applyFill="1" applyBorder="1" applyAlignment="1">
      <alignment horizontal="center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3" borderId="4" xfId="0" applyNumberFormat="1" applyFont="1" applyFill="1" applyBorder="1" applyAlignment="1">
      <alignment horizontal="center" vertical="center" wrapText="1"/>
    </xf>
    <xf numFmtId="4" fontId="19" fillId="3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4" fontId="19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4" fontId="17" fillId="0" borderId="2" xfId="0" applyNumberFormat="1" applyFont="1" applyFill="1" applyBorder="1" applyAlignment="1">
      <alignment horizontal="center" vertical="center" wrapText="1"/>
    </xf>
    <xf numFmtId="164" fontId="17" fillId="0" borderId="6" xfId="0" applyNumberFormat="1" applyFont="1" applyFill="1" applyBorder="1" applyAlignment="1">
      <alignment horizontal="center" vertical="center" wrapText="1"/>
    </xf>
    <xf numFmtId="4" fontId="17" fillId="2" borderId="23" xfId="0" applyNumberFormat="1" applyFont="1" applyFill="1" applyBorder="1" applyAlignment="1">
      <alignment horizontal="center" vertical="center" wrapText="1"/>
    </xf>
    <xf numFmtId="4" fontId="17" fillId="3" borderId="23" xfId="0" applyNumberFormat="1" applyFont="1" applyFill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164" fontId="17" fillId="0" borderId="24" xfId="0" applyNumberFormat="1" applyFont="1" applyFill="1" applyBorder="1" applyAlignment="1">
      <alignment horizontal="center" vertical="center" wrapText="1"/>
    </xf>
    <xf numFmtId="164" fontId="17" fillId="0" borderId="23" xfId="0" applyNumberFormat="1" applyFont="1" applyFill="1" applyBorder="1" applyAlignment="1">
      <alignment horizontal="center" vertical="center" wrapText="1"/>
    </xf>
    <xf numFmtId="164" fontId="17" fillId="0" borderId="23" xfId="0" applyNumberFormat="1" applyFont="1" applyBorder="1" applyAlignment="1">
      <alignment horizontal="center" vertical="center"/>
    </xf>
    <xf numFmtId="4" fontId="17" fillId="0" borderId="26" xfId="0" applyNumberFormat="1" applyFont="1" applyBorder="1" applyAlignment="1">
      <alignment horizontal="center" vertical="center"/>
    </xf>
    <xf numFmtId="164" fontId="17" fillId="0" borderId="25" xfId="0" applyNumberFormat="1" applyFont="1" applyBorder="1" applyAlignment="1">
      <alignment horizontal="center" vertical="center"/>
    </xf>
    <xf numFmtId="164" fontId="17" fillId="0" borderId="23" xfId="0" applyNumberFormat="1" applyFont="1" applyBorder="1" applyAlignment="1">
      <alignment horizontal="center" vertical="center" wrapText="1"/>
    </xf>
    <xf numFmtId="4" fontId="17" fillId="3" borderId="22" xfId="0" applyNumberFormat="1" applyFont="1" applyFill="1" applyBorder="1" applyAlignment="1">
      <alignment horizontal="center" vertical="center" wrapText="1"/>
    </xf>
    <xf numFmtId="4" fontId="17" fillId="3" borderId="26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164" fontId="5" fillId="0" borderId="1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16" fillId="3" borderId="4" xfId="0" applyNumberFormat="1" applyFont="1" applyFill="1" applyBorder="1" applyAlignment="1">
      <alignment horizontal="center" vertical="center"/>
    </xf>
    <xf numFmtId="4" fontId="17" fillId="3" borderId="4" xfId="0" applyNumberFormat="1" applyFont="1" applyFill="1" applyBorder="1" applyAlignment="1">
      <alignment horizontal="center" vertical="center"/>
    </xf>
    <xf numFmtId="164" fontId="17" fillId="3" borderId="5" xfId="0" applyNumberFormat="1" applyFont="1" applyFill="1" applyBorder="1" applyAlignment="1">
      <alignment horizontal="center" vertical="center" wrapText="1"/>
    </xf>
    <xf numFmtId="0" fontId="27" fillId="3" borderId="0" xfId="0" applyFont="1" applyFill="1" applyBorder="1" applyAlignment="1">
      <alignment horizontal="center" vertical="center"/>
    </xf>
    <xf numFmtId="164" fontId="16" fillId="3" borderId="5" xfId="0" applyNumberFormat="1" applyFont="1" applyFill="1" applyBorder="1" applyAlignment="1">
      <alignment horizontal="center" vertical="center" wrapText="1"/>
    </xf>
    <xf numFmtId="164" fontId="16" fillId="3" borderId="2" xfId="0" applyNumberFormat="1" applyFont="1" applyFill="1" applyBorder="1" applyAlignment="1">
      <alignment horizontal="center" vertical="center" wrapText="1"/>
    </xf>
    <xf numFmtId="164" fontId="16" fillId="3" borderId="0" xfId="0" applyNumberFormat="1" applyFont="1" applyFill="1" applyBorder="1" applyAlignment="1">
      <alignment horizontal="center" vertical="center" wrapText="1"/>
    </xf>
    <xf numFmtId="164" fontId="5" fillId="3" borderId="5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17" fillId="3" borderId="5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/>
    </xf>
    <xf numFmtId="164" fontId="17" fillId="3" borderId="2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Border="1" applyAlignment="1">
      <alignment horizontal="center"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4" fontId="17" fillId="0" borderId="4" xfId="0" applyNumberFormat="1" applyFont="1" applyFill="1" applyBorder="1" applyAlignment="1">
      <alignment horizontal="center" vertical="center" wrapText="1"/>
    </xf>
    <xf numFmtId="4" fontId="5" fillId="3" borderId="28" xfId="0" applyNumberFormat="1" applyFont="1" applyFill="1" applyBorder="1" applyAlignment="1">
      <alignment horizontal="center" vertical="center" wrapText="1"/>
    </xf>
    <xf numFmtId="4" fontId="17" fillId="3" borderId="28" xfId="0" applyNumberFormat="1" applyFont="1" applyFill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3" fillId="0" borderId="2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 wrapText="1"/>
    </xf>
    <xf numFmtId="0" fontId="23" fillId="3" borderId="18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5"/>
  <sheetViews>
    <sheetView showZeros="0" tabSelected="1" view="pageBreakPreview" zoomScale="95" zoomScaleNormal="84" zoomScaleSheetLayoutView="95" workbookViewId="0">
      <pane xSplit="2" ySplit="8" topLeftCell="E9" activePane="bottomRight" state="frozen"/>
      <selection pane="topRight" activeCell="C1" sqref="C1"/>
      <selection pane="bottomLeft" activeCell="A8" sqref="A8"/>
      <selection pane="bottomRight" activeCell="J14" sqref="J14"/>
    </sheetView>
  </sheetViews>
  <sheetFormatPr defaultRowHeight="15" x14ac:dyDescent="0.2"/>
  <cols>
    <col min="1" max="1" width="67.7109375" customWidth="1"/>
    <col min="2" max="2" width="32" style="8" customWidth="1"/>
    <col min="3" max="3" width="26.42578125" style="8" customWidth="1"/>
    <col min="4" max="4" width="26.5703125" style="39" customWidth="1"/>
    <col min="5" max="5" width="27" customWidth="1"/>
    <col min="6" max="6" width="23.28515625" customWidth="1"/>
    <col min="7" max="7" width="19.42578125" customWidth="1"/>
    <col min="8" max="8" width="16.28515625" hidden="1" customWidth="1"/>
    <col min="9" max="9" width="18.42578125" customWidth="1"/>
    <col min="10" max="10" width="22.5703125" customWidth="1"/>
    <col min="11" max="11" width="22.28515625" customWidth="1"/>
    <col min="12" max="12" width="5.42578125" hidden="1" customWidth="1"/>
    <col min="13" max="13" width="5.85546875" hidden="1" customWidth="1"/>
    <col min="14" max="14" width="5.7109375" style="17" customWidth="1"/>
    <col min="15" max="15" width="17.140625" style="13" customWidth="1"/>
    <col min="16" max="16" width="13.28515625" style="17" customWidth="1"/>
    <col min="17" max="17" width="16.28515625" style="13" customWidth="1"/>
    <col min="18" max="18" width="16" customWidth="1"/>
    <col min="19" max="19" width="15.28515625" customWidth="1"/>
    <col min="20" max="20" width="23.85546875" style="13" customWidth="1"/>
    <col min="21" max="21" width="6.42578125" hidden="1" customWidth="1"/>
    <col min="22" max="22" width="7.5703125" hidden="1" customWidth="1"/>
    <col min="23" max="23" width="4.5703125" hidden="1" customWidth="1"/>
    <col min="24" max="24" width="3.28515625" hidden="1" customWidth="1"/>
    <col min="25" max="25" width="9.140625" hidden="1" customWidth="1"/>
    <col min="26" max="26" width="22.42578125" customWidth="1"/>
    <col min="27" max="27" width="23.42578125" customWidth="1"/>
    <col min="28" max="28" width="13.85546875" style="44" customWidth="1"/>
  </cols>
  <sheetData>
    <row r="1" spans="1:28" x14ac:dyDescent="0.2">
      <c r="A1" s="11"/>
      <c r="B1" s="11"/>
      <c r="C1" s="11"/>
      <c r="D1" s="28"/>
      <c r="E1" s="11"/>
      <c r="F1" s="11"/>
      <c r="G1" s="11"/>
      <c r="H1" s="11"/>
      <c r="I1" s="11"/>
      <c r="J1" s="11"/>
      <c r="K1" s="11"/>
      <c r="L1" s="11"/>
      <c r="M1" s="11"/>
      <c r="N1" s="28"/>
      <c r="O1" s="29"/>
      <c r="P1" s="28"/>
      <c r="Q1" s="29"/>
      <c r="R1" s="11"/>
      <c r="S1" s="11"/>
      <c r="T1"/>
      <c r="U1" s="11"/>
      <c r="V1" s="11"/>
      <c r="W1" s="11"/>
      <c r="X1" s="11"/>
      <c r="AA1" t="s">
        <v>51</v>
      </c>
    </row>
    <row r="2" spans="1:28" ht="15.75" customHeight="1" x14ac:dyDescent="0.2">
      <c r="A2" s="213" t="s">
        <v>98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213"/>
      <c r="R2" s="213"/>
      <c r="S2" s="213"/>
      <c r="T2" s="213"/>
      <c r="U2" s="213"/>
      <c r="V2" s="213"/>
      <c r="W2" s="213"/>
      <c r="X2" s="213"/>
      <c r="Y2" s="213"/>
      <c r="Z2" s="213"/>
      <c r="AA2" t="s">
        <v>52</v>
      </c>
    </row>
    <row r="3" spans="1:28" ht="15.75" x14ac:dyDescent="0.2">
      <c r="A3" s="223"/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3"/>
      <c r="O3" s="223"/>
      <c r="P3" s="223"/>
      <c r="Q3" s="223"/>
      <c r="R3" s="223"/>
      <c r="S3" s="223"/>
      <c r="T3" s="223"/>
      <c r="U3" s="223"/>
      <c r="V3" s="223"/>
      <c r="W3" s="223"/>
      <c r="X3" s="223"/>
    </row>
    <row r="4" spans="1:28" ht="16.5" thickBot="1" x14ac:dyDescent="0.25">
      <c r="A4" s="1"/>
      <c r="B4" s="7"/>
      <c r="C4" s="7"/>
      <c r="D4" s="38"/>
      <c r="E4" s="3"/>
      <c r="F4" s="3"/>
      <c r="G4" s="3"/>
      <c r="H4" s="3"/>
      <c r="I4" s="3"/>
      <c r="J4" s="3"/>
      <c r="K4" s="2"/>
      <c r="Q4" s="15"/>
      <c r="V4" s="5"/>
      <c r="W4" s="5"/>
      <c r="X4" s="5"/>
      <c r="AA4" s="30" t="s">
        <v>78</v>
      </c>
    </row>
    <row r="5" spans="1:28" ht="21" customHeight="1" thickBot="1" x14ac:dyDescent="0.25">
      <c r="A5" s="208" t="s">
        <v>0</v>
      </c>
      <c r="B5" s="209" t="s">
        <v>1</v>
      </c>
      <c r="C5" s="212" t="s">
        <v>87</v>
      </c>
      <c r="D5" s="209" t="s">
        <v>94</v>
      </c>
      <c r="E5" s="209" t="s">
        <v>99</v>
      </c>
      <c r="F5" s="209" t="s">
        <v>100</v>
      </c>
      <c r="G5" s="209" t="s">
        <v>101</v>
      </c>
      <c r="H5" s="212"/>
      <c r="I5" s="218" t="s">
        <v>102</v>
      </c>
      <c r="J5" s="209" t="s">
        <v>103</v>
      </c>
      <c r="K5" s="209" t="s">
        <v>104</v>
      </c>
      <c r="L5" s="209" t="s">
        <v>18</v>
      </c>
      <c r="M5" s="209"/>
      <c r="N5" s="209"/>
      <c r="O5" s="209"/>
      <c r="P5" s="212"/>
      <c r="Q5" s="212"/>
      <c r="R5" s="212"/>
      <c r="S5" s="212"/>
      <c r="T5" s="212"/>
      <c r="U5" s="205" t="s">
        <v>20</v>
      </c>
      <c r="V5" s="205"/>
      <c r="W5" s="205"/>
      <c r="X5" s="205"/>
      <c r="Y5" s="63"/>
      <c r="Z5" s="208" t="s">
        <v>95</v>
      </c>
      <c r="AA5" s="202" t="s">
        <v>105</v>
      </c>
    </row>
    <row r="6" spans="1:28" ht="15.75" x14ac:dyDescent="0.2">
      <c r="A6" s="221"/>
      <c r="B6" s="206"/>
      <c r="C6" s="216"/>
      <c r="D6" s="206"/>
      <c r="E6" s="206"/>
      <c r="F6" s="206"/>
      <c r="G6" s="206"/>
      <c r="H6" s="216"/>
      <c r="I6" s="219"/>
      <c r="J6" s="206"/>
      <c r="K6" s="206"/>
      <c r="L6" s="206" t="s">
        <v>13</v>
      </c>
      <c r="M6" s="206"/>
      <c r="N6" s="206" t="s">
        <v>16</v>
      </c>
      <c r="O6" s="207"/>
      <c r="P6" s="208" t="s">
        <v>17</v>
      </c>
      <c r="Q6" s="209"/>
      <c r="R6" s="209"/>
      <c r="S6" s="209"/>
      <c r="T6" s="202"/>
      <c r="U6" s="210" t="s">
        <v>17</v>
      </c>
      <c r="V6" s="211"/>
      <c r="W6" s="211"/>
      <c r="X6" s="211"/>
      <c r="Y6" s="64"/>
      <c r="Z6" s="221"/>
      <c r="AA6" s="203"/>
    </row>
    <row r="7" spans="1:28" ht="62.25" customHeight="1" thickBot="1" x14ac:dyDescent="0.25">
      <c r="A7" s="222"/>
      <c r="B7" s="214"/>
      <c r="C7" s="217"/>
      <c r="D7" s="214"/>
      <c r="E7" s="214"/>
      <c r="F7" s="214"/>
      <c r="G7" s="214"/>
      <c r="H7" s="217"/>
      <c r="I7" s="220"/>
      <c r="J7" s="214"/>
      <c r="K7" s="214"/>
      <c r="L7" s="65" t="s">
        <v>14</v>
      </c>
      <c r="M7" s="65" t="s">
        <v>15</v>
      </c>
      <c r="N7" s="65" t="s">
        <v>14</v>
      </c>
      <c r="O7" s="66" t="s">
        <v>15</v>
      </c>
      <c r="P7" s="100" t="s">
        <v>29</v>
      </c>
      <c r="Q7" s="67" t="s">
        <v>15</v>
      </c>
      <c r="R7" s="68" t="s">
        <v>79</v>
      </c>
      <c r="S7" s="69" t="s">
        <v>15</v>
      </c>
      <c r="T7" s="70" t="s">
        <v>21</v>
      </c>
      <c r="U7" s="71" t="s">
        <v>14</v>
      </c>
      <c r="V7" s="65" t="s">
        <v>15</v>
      </c>
      <c r="W7" s="72" t="s">
        <v>19</v>
      </c>
      <c r="X7" s="69" t="s">
        <v>15</v>
      </c>
      <c r="Y7" s="73"/>
      <c r="Z7" s="222"/>
      <c r="AA7" s="204"/>
    </row>
    <row r="8" spans="1:28" ht="15.75" x14ac:dyDescent="0.25">
      <c r="A8" s="74">
        <v>1</v>
      </c>
      <c r="B8" s="75">
        <v>2</v>
      </c>
      <c r="C8" s="41"/>
      <c r="D8" s="75">
        <v>3</v>
      </c>
      <c r="E8" s="75">
        <v>3</v>
      </c>
      <c r="F8" s="75"/>
      <c r="G8" s="75">
        <v>4</v>
      </c>
      <c r="H8" s="75"/>
      <c r="I8" s="75">
        <v>5</v>
      </c>
      <c r="J8" s="75">
        <v>6</v>
      </c>
      <c r="K8" s="75">
        <v>7</v>
      </c>
      <c r="L8" s="76">
        <v>4</v>
      </c>
      <c r="M8" s="76">
        <v>5</v>
      </c>
      <c r="N8" s="76">
        <v>8</v>
      </c>
      <c r="O8" s="77">
        <v>9</v>
      </c>
      <c r="P8" s="78">
        <v>10</v>
      </c>
      <c r="Q8" s="79">
        <v>11</v>
      </c>
      <c r="R8" s="80">
        <v>12</v>
      </c>
      <c r="S8" s="80">
        <v>13</v>
      </c>
      <c r="T8" s="81">
        <v>14</v>
      </c>
      <c r="U8" s="82">
        <v>13</v>
      </c>
      <c r="V8" s="83">
        <v>14</v>
      </c>
      <c r="W8" s="80">
        <v>15</v>
      </c>
      <c r="X8" s="80">
        <v>16</v>
      </c>
      <c r="Y8" s="64"/>
      <c r="Z8" s="74">
        <v>7</v>
      </c>
      <c r="AA8" s="84">
        <v>7</v>
      </c>
    </row>
    <row r="9" spans="1:28" s="11" customFormat="1" ht="22.5" customHeight="1" x14ac:dyDescent="0.2">
      <c r="A9" s="23" t="s">
        <v>2</v>
      </c>
      <c r="B9" s="85"/>
      <c r="C9" s="102">
        <f>C11+C14+C17+C20+C22+C13</f>
        <v>22667325.209999997</v>
      </c>
      <c r="D9" s="102">
        <f>D11+D14+D17+D20+D22+D13</f>
        <v>25691064.989999998</v>
      </c>
      <c r="E9" s="102">
        <f>E11+E14+E17+E20+E22+E13</f>
        <v>24076923.080000002</v>
      </c>
      <c r="F9" s="102">
        <f>F11+F14+F17+F20+F22+F13</f>
        <v>7623187.0499999989</v>
      </c>
      <c r="G9" s="102">
        <f>G11+G14+G17+G20+G22+G13</f>
        <v>25296849.420000002</v>
      </c>
      <c r="H9" s="102"/>
      <c r="I9" s="102">
        <f>I11+I14+I17+I20+I22+I13</f>
        <v>24259048.760000005</v>
      </c>
      <c r="J9" s="102">
        <f>J11+J14+J17+J20+J22+J13</f>
        <v>28101354.835999999</v>
      </c>
      <c r="K9" s="102">
        <f>K11+K14+K17+K20+K22+K13</f>
        <v>71738927.780000001</v>
      </c>
      <c r="L9" s="103" t="e">
        <f>L11+L14+L17+L20+L22</f>
        <v>#REF!</v>
      </c>
      <c r="M9" s="103" t="e">
        <f>M11+M14+M17+M20+M22</f>
        <v>#REF!</v>
      </c>
      <c r="N9" s="103">
        <f>N11+N14+N17+N20+N22</f>
        <v>0</v>
      </c>
      <c r="O9" s="104">
        <f>O11+O14+O17+O20+O22+O13</f>
        <v>42598196.669000007</v>
      </c>
      <c r="P9" s="105"/>
      <c r="Q9" s="102">
        <f>Q11+Q14+Q17+Q20+Q22+Q13</f>
        <v>20012546.1105</v>
      </c>
      <c r="R9" s="103">
        <f>R11+R14+R17+R20+R22</f>
        <v>0</v>
      </c>
      <c r="S9" s="102">
        <f>S11+S14+S17+S20+S22+S13</f>
        <v>9128185.000500001</v>
      </c>
      <c r="T9" s="106">
        <f>T11+T14+T17+T20+T22+T13</f>
        <v>29140731.111000001</v>
      </c>
      <c r="U9" s="107" t="e">
        <f>U11+U14+U17+U20+U22</f>
        <v>#REF!</v>
      </c>
      <c r="V9" s="103" t="e">
        <f>V11+V14+V17+V20+V22</f>
        <v>#REF!</v>
      </c>
      <c r="W9" s="103" t="e">
        <f>W11+W14+W17+W20+W22</f>
        <v>#REF!</v>
      </c>
      <c r="X9" s="103" t="e">
        <f>X11+X14+X17+X20+X22</f>
        <v>#REF!</v>
      </c>
      <c r="Y9" s="108">
        <f>Y11+Y14+Y17+Y20+Y22</f>
        <v>27581</v>
      </c>
      <c r="Z9" s="197">
        <f>Z11+Z14+Z17+Z20+Z22+Z13</f>
        <v>32128906.670000002</v>
      </c>
      <c r="AA9" s="106">
        <f>AA11+AA14+AA17+AA20+AA22+AA13</f>
        <v>34824207.780000001</v>
      </c>
      <c r="AB9" s="45"/>
    </row>
    <row r="10" spans="1:28" s="11" customFormat="1" ht="15" customHeight="1" x14ac:dyDescent="0.2">
      <c r="A10" s="23"/>
      <c r="B10" s="85"/>
      <c r="C10" s="103"/>
      <c r="D10" s="103"/>
      <c r="E10" s="103"/>
      <c r="F10" s="103"/>
      <c r="G10" s="103"/>
      <c r="H10" s="103"/>
      <c r="I10" s="102"/>
      <c r="J10" s="102"/>
      <c r="K10" s="102"/>
      <c r="L10" s="16"/>
      <c r="M10" s="16"/>
      <c r="N10" s="16"/>
      <c r="O10" s="108"/>
      <c r="P10" s="18"/>
      <c r="Q10" s="102"/>
      <c r="R10" s="16"/>
      <c r="S10" s="102"/>
      <c r="T10" s="109"/>
      <c r="U10" s="107"/>
      <c r="V10" s="103"/>
      <c r="W10" s="103"/>
      <c r="X10" s="103"/>
      <c r="Y10" s="110"/>
      <c r="Z10" s="111"/>
      <c r="AA10" s="106"/>
      <c r="AB10" s="45"/>
    </row>
    <row r="11" spans="1:28" s="6" customFormat="1" ht="31.5" customHeight="1" x14ac:dyDescent="0.2">
      <c r="A11" s="86" t="s">
        <v>3</v>
      </c>
      <c r="B11" s="89" t="s">
        <v>32</v>
      </c>
      <c r="C11" s="112">
        <f t="shared" ref="C11:M11" si="0">SUM(C12:C12)</f>
        <v>15460946.699999999</v>
      </c>
      <c r="D11" s="112">
        <f t="shared" si="0"/>
        <v>17155062.219999999</v>
      </c>
      <c r="E11" s="113">
        <f t="shared" si="0"/>
        <v>16878959.539999999</v>
      </c>
      <c r="F11" s="112">
        <f t="shared" si="0"/>
        <v>5589879</v>
      </c>
      <c r="G11" s="113">
        <f t="shared" si="0"/>
        <v>15364450</v>
      </c>
      <c r="H11" s="113"/>
      <c r="I11" s="113">
        <f t="shared" si="0"/>
        <v>14638862.210000001</v>
      </c>
      <c r="J11" s="113">
        <f t="shared" si="0"/>
        <v>17554200</v>
      </c>
      <c r="K11" s="114">
        <f t="shared" si="0"/>
        <v>60854566.670000002</v>
      </c>
      <c r="L11" s="21">
        <f t="shared" si="0"/>
        <v>0</v>
      </c>
      <c r="M11" s="21">
        <f t="shared" si="0"/>
        <v>0</v>
      </c>
      <c r="N11" s="21"/>
      <c r="O11" s="115">
        <f>SUM(O12:O12)</f>
        <v>42598196.669000007</v>
      </c>
      <c r="P11" s="22"/>
      <c r="Q11" s="113">
        <f>SUM(Q12:Q12)</f>
        <v>9128185.000500001</v>
      </c>
      <c r="R11" s="21"/>
      <c r="S11" s="113">
        <f>SUM(S12:S12)</f>
        <v>9128185.000500001</v>
      </c>
      <c r="T11" s="116">
        <f t="shared" ref="T11:X11" si="1">SUM(T12:T12)</f>
        <v>18256370.001000002</v>
      </c>
      <c r="U11" s="117">
        <f t="shared" si="1"/>
        <v>0</v>
      </c>
      <c r="V11" s="118">
        <f t="shared" si="1"/>
        <v>0</v>
      </c>
      <c r="W11" s="118">
        <f t="shared" si="1"/>
        <v>0</v>
      </c>
      <c r="X11" s="118">
        <f t="shared" si="1"/>
        <v>0</v>
      </c>
      <c r="Y11" s="119">
        <v>27581</v>
      </c>
      <c r="Z11" s="120">
        <f>SUM(Z12:Z12)</f>
        <v>18986620</v>
      </c>
      <c r="AA11" s="116">
        <f>SUM(AA12:AA12)</f>
        <v>19746090</v>
      </c>
      <c r="AB11" s="46"/>
    </row>
    <row r="12" spans="1:28" s="10" customFormat="1" ht="15" customHeight="1" x14ac:dyDescent="0.2">
      <c r="A12" s="88" t="s">
        <v>4</v>
      </c>
      <c r="B12" s="87" t="s">
        <v>31</v>
      </c>
      <c r="C12" s="121">
        <v>15460946.699999999</v>
      </c>
      <c r="D12" s="121">
        <v>17155062.219999999</v>
      </c>
      <c r="E12" s="122">
        <v>16878959.539999999</v>
      </c>
      <c r="F12" s="121">
        <v>5589879</v>
      </c>
      <c r="G12" s="122">
        <v>15364450</v>
      </c>
      <c r="H12" s="122">
        <f>I12+F12</f>
        <v>20228741.210000001</v>
      </c>
      <c r="I12" s="122">
        <v>14638862.210000001</v>
      </c>
      <c r="J12" s="122">
        <f>G12+2189750</f>
        <v>17554200</v>
      </c>
      <c r="K12" s="122">
        <v>60854566.670000002</v>
      </c>
      <c r="L12" s="123"/>
      <c r="M12" s="124">
        <f>SUM(K12*L12/100)</f>
        <v>0</v>
      </c>
      <c r="N12" s="50">
        <v>70</v>
      </c>
      <c r="O12" s="125">
        <f>SUM(K12)/100*N12</f>
        <v>42598196.669000007</v>
      </c>
      <c r="P12" s="51">
        <v>15</v>
      </c>
      <c r="Q12" s="126">
        <f>SUM(K12)/100*P12</f>
        <v>9128185.000500001</v>
      </c>
      <c r="R12" s="50">
        <v>15</v>
      </c>
      <c r="S12" s="122">
        <f>SUM(K12)/100*R12</f>
        <v>9128185.000500001</v>
      </c>
      <c r="T12" s="184">
        <f>SUM(Q12+S12)</f>
        <v>18256370.001000002</v>
      </c>
      <c r="U12" s="127"/>
      <c r="V12" s="128"/>
      <c r="W12" s="129"/>
      <c r="X12" s="129"/>
      <c r="Y12" s="130">
        <v>25.15</v>
      </c>
      <c r="Z12" s="141">
        <v>18986620</v>
      </c>
      <c r="AA12" s="142">
        <v>19746090</v>
      </c>
      <c r="AB12" s="47" t="s">
        <v>74</v>
      </c>
    </row>
    <row r="13" spans="1:28" s="10" customFormat="1" ht="36" customHeight="1" x14ac:dyDescent="0.2">
      <c r="A13" s="86" t="s">
        <v>54</v>
      </c>
      <c r="B13" s="89" t="s">
        <v>62</v>
      </c>
      <c r="C13" s="112">
        <v>4932177.8600000003</v>
      </c>
      <c r="D13" s="112">
        <v>6420679.71</v>
      </c>
      <c r="E13" s="131">
        <v>4569011.28</v>
      </c>
      <c r="F13" s="112">
        <v>1177257.3999999999</v>
      </c>
      <c r="G13" s="131">
        <v>4675399.42</v>
      </c>
      <c r="H13" s="131"/>
      <c r="I13" s="132">
        <v>4080272.03</v>
      </c>
      <c r="J13" s="132">
        <f>SUM(I13)/10*12</f>
        <v>4896326.4359999998</v>
      </c>
      <c r="K13" s="132">
        <v>5525031.1100000003</v>
      </c>
      <c r="L13" s="123"/>
      <c r="M13" s="124"/>
      <c r="N13" s="50"/>
      <c r="O13" s="133"/>
      <c r="P13" s="51">
        <v>100</v>
      </c>
      <c r="Q13" s="114">
        <f>SUM(K13)/100*P13</f>
        <v>5525031.1100000003</v>
      </c>
      <c r="R13" s="50"/>
      <c r="S13" s="128"/>
      <c r="T13" s="185">
        <f>SUM(Q13)</f>
        <v>5525031.1100000003</v>
      </c>
      <c r="U13" s="127"/>
      <c r="V13" s="128"/>
      <c r="W13" s="129"/>
      <c r="X13" s="129"/>
      <c r="Y13" s="130"/>
      <c r="Z13" s="135">
        <v>7568586.6699999999</v>
      </c>
      <c r="AA13" s="136">
        <v>9281457.7799999993</v>
      </c>
      <c r="AB13" s="47" t="s">
        <v>76</v>
      </c>
    </row>
    <row r="14" spans="1:28" s="6" customFormat="1" ht="23.25" customHeight="1" x14ac:dyDescent="0.2">
      <c r="A14" s="86" t="s">
        <v>5</v>
      </c>
      <c r="B14" s="89" t="s">
        <v>33</v>
      </c>
      <c r="C14" s="113">
        <f t="shared" ref="C14" si="2">SUM(C15:C16)</f>
        <v>1951988.1800000002</v>
      </c>
      <c r="D14" s="113">
        <f t="shared" ref="D14:E14" si="3">SUM(D15:D16)</f>
        <v>1783984.26</v>
      </c>
      <c r="E14" s="132">
        <f t="shared" si="3"/>
        <v>2242948.12</v>
      </c>
      <c r="F14" s="113">
        <f t="shared" ref="F14:K14" si="4">SUM(F15:F16)</f>
        <v>773206.59</v>
      </c>
      <c r="G14" s="132">
        <f t="shared" si="4"/>
        <v>4770000</v>
      </c>
      <c r="H14" s="132"/>
      <c r="I14" s="132">
        <f t="shared" si="4"/>
        <v>5205605.6000000006</v>
      </c>
      <c r="J14" s="132">
        <f>SUM(J15:J16)</f>
        <v>5267628.4000000004</v>
      </c>
      <c r="K14" s="132">
        <f t="shared" si="4"/>
        <v>4960800</v>
      </c>
      <c r="L14" s="21" t="e">
        <f>SUM(#REF!)</f>
        <v>#REF!</v>
      </c>
      <c r="M14" s="21" t="e">
        <f>SUM(#REF!)</f>
        <v>#REF!</v>
      </c>
      <c r="N14" s="52"/>
      <c r="O14" s="134">
        <f>SUM(O16:O16)</f>
        <v>0</v>
      </c>
      <c r="P14" s="53"/>
      <c r="Q14" s="114">
        <f>SUM(Q15:Q16)</f>
        <v>4960800</v>
      </c>
      <c r="R14" s="52"/>
      <c r="S14" s="118"/>
      <c r="T14" s="136">
        <f>SUM(Q14)</f>
        <v>4960800</v>
      </c>
      <c r="U14" s="186" t="e">
        <f>SUM(#REF!)</f>
        <v>#REF!</v>
      </c>
      <c r="V14" s="145" t="e">
        <f>SUM(#REF!)</f>
        <v>#REF!</v>
      </c>
      <c r="W14" s="145" t="e">
        <f>SUM(#REF!)</f>
        <v>#REF!</v>
      </c>
      <c r="X14" s="145" t="e">
        <f>SUM(#REF!)</f>
        <v>#REF!</v>
      </c>
      <c r="Y14" s="187"/>
      <c r="Z14" s="135">
        <f>SUM(Z15:Z16)</f>
        <v>5159230</v>
      </c>
      <c r="AA14" s="136">
        <f>SUM(AA15:AA16)</f>
        <v>5365610</v>
      </c>
      <c r="AB14" s="46"/>
    </row>
    <row r="15" spans="1:28" s="6" customFormat="1" ht="35.25" customHeight="1" x14ac:dyDescent="0.2">
      <c r="A15" s="88" t="s">
        <v>81</v>
      </c>
      <c r="B15" s="89" t="s">
        <v>63</v>
      </c>
      <c r="C15" s="137">
        <v>1479303.07</v>
      </c>
      <c r="D15" s="137">
        <v>1371037.28</v>
      </c>
      <c r="E15" s="122">
        <v>1818204.12</v>
      </c>
      <c r="F15" s="137">
        <v>710061.59</v>
      </c>
      <c r="G15" s="122">
        <v>4300000</v>
      </c>
      <c r="H15" s="122">
        <f>I15+F15</f>
        <v>5507689.9900000002</v>
      </c>
      <c r="I15" s="122">
        <v>4797628.4000000004</v>
      </c>
      <c r="J15" s="122">
        <f>SUM(G15)+497628.4</f>
        <v>4797628.4000000004</v>
      </c>
      <c r="K15" s="122">
        <v>4472000</v>
      </c>
      <c r="L15" s="124"/>
      <c r="M15" s="124"/>
      <c r="N15" s="54"/>
      <c r="O15" s="133"/>
      <c r="P15" s="55">
        <v>100</v>
      </c>
      <c r="Q15" s="126">
        <f>SUM(K15)</f>
        <v>4472000</v>
      </c>
      <c r="R15" s="54"/>
      <c r="S15" s="138"/>
      <c r="T15" s="184">
        <f>SUM(Q15+S15)</f>
        <v>4472000</v>
      </c>
      <c r="U15" s="188"/>
      <c r="V15" s="128"/>
      <c r="W15" s="128"/>
      <c r="X15" s="128"/>
      <c r="Y15" s="130"/>
      <c r="Z15" s="141">
        <v>4650880</v>
      </c>
      <c r="AA15" s="142">
        <v>4836920</v>
      </c>
      <c r="AB15" s="47" t="s">
        <v>74</v>
      </c>
    </row>
    <row r="16" spans="1:28" s="6" customFormat="1" ht="36.75" customHeight="1" x14ac:dyDescent="0.2">
      <c r="A16" s="88" t="s">
        <v>23</v>
      </c>
      <c r="B16" s="89" t="s">
        <v>34</v>
      </c>
      <c r="C16" s="121">
        <v>472685.11</v>
      </c>
      <c r="D16" s="121">
        <v>412946.98</v>
      </c>
      <c r="E16" s="122">
        <v>424744</v>
      </c>
      <c r="F16" s="121">
        <v>63145</v>
      </c>
      <c r="G16" s="122">
        <v>470000</v>
      </c>
      <c r="H16" s="122">
        <f>I16+F16</f>
        <v>471122.2</v>
      </c>
      <c r="I16" s="122">
        <v>407977.2</v>
      </c>
      <c r="J16" s="122">
        <f>SUM(G16)</f>
        <v>470000</v>
      </c>
      <c r="K16" s="122">
        <v>488800</v>
      </c>
      <c r="L16" s="21"/>
      <c r="M16" s="21"/>
      <c r="N16" s="54"/>
      <c r="O16" s="133"/>
      <c r="P16" s="55">
        <v>100</v>
      </c>
      <c r="Q16" s="126">
        <f>SUM(K16)</f>
        <v>488800</v>
      </c>
      <c r="R16" s="52"/>
      <c r="S16" s="118"/>
      <c r="T16" s="184">
        <f>SUM(Q16+S16)</f>
        <v>488800</v>
      </c>
      <c r="U16" s="186"/>
      <c r="V16" s="145"/>
      <c r="W16" s="145"/>
      <c r="X16" s="145"/>
      <c r="Y16" s="187"/>
      <c r="Z16" s="141">
        <v>508350</v>
      </c>
      <c r="AA16" s="142">
        <v>528690</v>
      </c>
      <c r="AB16" s="49" t="s">
        <v>75</v>
      </c>
    </row>
    <row r="17" spans="1:28" s="6" customFormat="1" ht="19.5" customHeight="1" x14ac:dyDescent="0.2">
      <c r="A17" s="86" t="s">
        <v>6</v>
      </c>
      <c r="B17" s="87" t="s">
        <v>36</v>
      </c>
      <c r="C17" s="113">
        <f t="shared" ref="C17:E17" si="5">C19+C18</f>
        <v>151801.38</v>
      </c>
      <c r="D17" s="113">
        <f t="shared" si="5"/>
        <v>-28177.759999999998</v>
      </c>
      <c r="E17" s="132">
        <f t="shared" si="5"/>
        <v>54386.02</v>
      </c>
      <c r="F17" s="113">
        <f t="shared" ref="F17:K17" si="6">F19+F18</f>
        <v>15152</v>
      </c>
      <c r="G17" s="132">
        <f t="shared" si="6"/>
        <v>57000</v>
      </c>
      <c r="H17" s="132"/>
      <c r="I17" s="132">
        <f t="shared" si="6"/>
        <v>25701.94</v>
      </c>
      <c r="J17" s="132">
        <f t="shared" si="6"/>
        <v>57000</v>
      </c>
      <c r="K17" s="132">
        <f t="shared" si="6"/>
        <v>59280</v>
      </c>
      <c r="L17" s="118">
        <f>L19</f>
        <v>0</v>
      </c>
      <c r="M17" s="118">
        <f>M19</f>
        <v>0</v>
      </c>
      <c r="N17" s="139">
        <f>N19</f>
        <v>0</v>
      </c>
      <c r="O17" s="134">
        <f>O19</f>
        <v>0</v>
      </c>
      <c r="P17" s="55">
        <v>100</v>
      </c>
      <c r="Q17" s="114">
        <f>SUM(Q18+Q19)</f>
        <v>59280</v>
      </c>
      <c r="R17" s="140">
        <f>R19</f>
        <v>0</v>
      </c>
      <c r="S17" s="138">
        <f>S19</f>
        <v>0</v>
      </c>
      <c r="T17" s="114">
        <f>SUM(T18+T19)</f>
        <v>59280</v>
      </c>
      <c r="U17" s="188">
        <f>U19</f>
        <v>0</v>
      </c>
      <c r="V17" s="128">
        <f>V19</f>
        <v>0</v>
      </c>
      <c r="W17" s="128">
        <f>W19</f>
        <v>0</v>
      </c>
      <c r="X17" s="128">
        <f>X19</f>
        <v>0</v>
      </c>
      <c r="Y17" s="189">
        <f>Y19</f>
        <v>0</v>
      </c>
      <c r="Z17" s="198">
        <f t="shared" ref="Z17:AA17" si="7">SUM(Z18+Z19)</f>
        <v>61650</v>
      </c>
      <c r="AA17" s="199">
        <f t="shared" si="7"/>
        <v>64120</v>
      </c>
      <c r="AB17" s="49"/>
    </row>
    <row r="18" spans="1:28" s="6" customFormat="1" ht="47.25" customHeight="1" x14ac:dyDescent="0.2">
      <c r="A18" s="88" t="s">
        <v>55</v>
      </c>
      <c r="B18" s="87" t="s">
        <v>56</v>
      </c>
      <c r="C18" s="137">
        <v>3.68</v>
      </c>
      <c r="D18" s="137">
        <v>0</v>
      </c>
      <c r="E18" s="122">
        <v>8736.8799999999992</v>
      </c>
      <c r="F18" s="137">
        <v>6117</v>
      </c>
      <c r="G18" s="122">
        <v>4000</v>
      </c>
      <c r="H18" s="122">
        <f>I18+F18</f>
        <v>3185</v>
      </c>
      <c r="I18" s="122">
        <v>-2932</v>
      </c>
      <c r="J18" s="122">
        <f>SUM(G18)</f>
        <v>4000</v>
      </c>
      <c r="K18" s="122">
        <v>4160</v>
      </c>
      <c r="L18" s="118"/>
      <c r="M18" s="118"/>
      <c r="N18" s="139"/>
      <c r="O18" s="134"/>
      <c r="P18" s="51">
        <v>100</v>
      </c>
      <c r="Q18" s="126">
        <f>SUM(K18)</f>
        <v>4160</v>
      </c>
      <c r="R18" s="140"/>
      <c r="S18" s="138"/>
      <c r="T18" s="184">
        <f>SUM(Q18+S18)</f>
        <v>4160</v>
      </c>
      <c r="U18" s="188"/>
      <c r="V18" s="128"/>
      <c r="W18" s="128"/>
      <c r="X18" s="128"/>
      <c r="Y18" s="190"/>
      <c r="Z18" s="141">
        <v>4330</v>
      </c>
      <c r="AA18" s="142">
        <v>4500</v>
      </c>
      <c r="AB18" s="49" t="s">
        <v>75</v>
      </c>
    </row>
    <row r="19" spans="1:28" s="10" customFormat="1" ht="22.5" customHeight="1" x14ac:dyDescent="0.2">
      <c r="A19" s="88" t="s">
        <v>35</v>
      </c>
      <c r="B19" s="87" t="s">
        <v>57</v>
      </c>
      <c r="C19" s="121">
        <v>151797.70000000001</v>
      </c>
      <c r="D19" s="121">
        <v>-28177.759999999998</v>
      </c>
      <c r="E19" s="122">
        <v>45649.14</v>
      </c>
      <c r="F19" s="121">
        <v>9035</v>
      </c>
      <c r="G19" s="122">
        <v>53000</v>
      </c>
      <c r="H19" s="122">
        <f>I19+F19</f>
        <v>37668.94</v>
      </c>
      <c r="I19" s="122">
        <v>28633.94</v>
      </c>
      <c r="J19" s="122">
        <f>SUM(G19)</f>
        <v>53000</v>
      </c>
      <c r="K19" s="122">
        <v>55120</v>
      </c>
      <c r="L19" s="123"/>
      <c r="M19" s="124">
        <f>SUM(K19*L19/100)</f>
        <v>0</v>
      </c>
      <c r="N19" s="50"/>
      <c r="O19" s="133">
        <f>SUM(K19*N19/100)</f>
        <v>0</v>
      </c>
      <c r="P19" s="51">
        <v>100</v>
      </c>
      <c r="Q19" s="126">
        <f>SUM(K19)</f>
        <v>55120</v>
      </c>
      <c r="R19" s="50"/>
      <c r="S19" s="143">
        <f>SUM(K19*R19/100)</f>
        <v>0</v>
      </c>
      <c r="T19" s="184">
        <f>SUM(Q19+S19)</f>
        <v>55120</v>
      </c>
      <c r="U19" s="127"/>
      <c r="V19" s="128"/>
      <c r="W19" s="129"/>
      <c r="X19" s="129"/>
      <c r="Y19" s="130"/>
      <c r="Z19" s="141">
        <v>57320</v>
      </c>
      <c r="AA19" s="142">
        <v>59620</v>
      </c>
      <c r="AB19" s="49" t="s">
        <v>75</v>
      </c>
    </row>
    <row r="20" spans="1:28" s="6" customFormat="1" ht="18" customHeight="1" x14ac:dyDescent="0.2">
      <c r="A20" s="86" t="s">
        <v>7</v>
      </c>
      <c r="B20" s="89" t="s">
        <v>40</v>
      </c>
      <c r="C20" s="112">
        <v>170411.09</v>
      </c>
      <c r="D20" s="112">
        <v>359516.56</v>
      </c>
      <c r="E20" s="132">
        <v>331618.12</v>
      </c>
      <c r="F20" s="112">
        <v>67692.06</v>
      </c>
      <c r="G20" s="132">
        <v>430000</v>
      </c>
      <c r="H20" s="144"/>
      <c r="I20" s="132">
        <v>308606.98</v>
      </c>
      <c r="J20" s="132">
        <f>SUM(G20)-103800</f>
        <v>326200</v>
      </c>
      <c r="K20" s="132">
        <v>339250</v>
      </c>
      <c r="L20" s="21" t="e">
        <f>SUM(#REF!)</f>
        <v>#REF!</v>
      </c>
      <c r="M20" s="21" t="e">
        <f>SUM(#REF!)</f>
        <v>#REF!</v>
      </c>
      <c r="N20" s="52"/>
      <c r="O20" s="134"/>
      <c r="P20" s="53">
        <v>100</v>
      </c>
      <c r="Q20" s="114">
        <f>SUM(K20)</f>
        <v>339250</v>
      </c>
      <c r="R20" s="52"/>
      <c r="S20" s="118"/>
      <c r="T20" s="185">
        <f>SUM(Q20+S20)</f>
        <v>339250</v>
      </c>
      <c r="U20" s="186" t="e">
        <f>SUM(#REF!)</f>
        <v>#REF!</v>
      </c>
      <c r="V20" s="145" t="e">
        <f>SUM(#REF!)</f>
        <v>#REF!</v>
      </c>
      <c r="W20" s="145" t="e">
        <f>SUM(#REF!)</f>
        <v>#REF!</v>
      </c>
      <c r="X20" s="145" t="e">
        <f>SUM(#REF!)</f>
        <v>#REF!</v>
      </c>
      <c r="Y20" s="187"/>
      <c r="Z20" s="135">
        <v>352820</v>
      </c>
      <c r="AA20" s="136">
        <v>366930</v>
      </c>
      <c r="AB20" s="49" t="s">
        <v>75</v>
      </c>
    </row>
    <row r="21" spans="1:28" s="6" customFormat="1" ht="33.75" hidden="1" customHeight="1" x14ac:dyDescent="0.2">
      <c r="A21" s="86" t="s">
        <v>73</v>
      </c>
      <c r="B21" s="89" t="s">
        <v>66</v>
      </c>
      <c r="C21" s="112"/>
      <c r="D21" s="112"/>
      <c r="E21" s="144"/>
      <c r="F21" s="112"/>
      <c r="G21" s="144"/>
      <c r="H21" s="144"/>
      <c r="I21" s="132"/>
      <c r="J21" s="132"/>
      <c r="K21" s="145"/>
      <c r="L21" s="21"/>
      <c r="M21" s="21"/>
      <c r="N21" s="52"/>
      <c r="O21" s="134"/>
      <c r="P21" s="53"/>
      <c r="Q21" s="114"/>
      <c r="R21" s="52"/>
      <c r="S21" s="118"/>
      <c r="T21" s="185"/>
      <c r="U21" s="186"/>
      <c r="V21" s="145"/>
      <c r="W21" s="145"/>
      <c r="X21" s="145"/>
      <c r="Y21" s="187"/>
      <c r="Z21" s="135"/>
      <c r="AA21" s="136"/>
      <c r="AB21" s="46"/>
    </row>
    <row r="22" spans="1:28" s="6" customFormat="1" ht="40.5" hidden="1" customHeight="1" x14ac:dyDescent="0.2">
      <c r="A22" s="86" t="s">
        <v>45</v>
      </c>
      <c r="B22" s="89" t="s">
        <v>41</v>
      </c>
      <c r="C22" s="112">
        <v>0</v>
      </c>
      <c r="D22" s="112">
        <v>0</v>
      </c>
      <c r="E22" s="145">
        <v>0</v>
      </c>
      <c r="F22" s="112"/>
      <c r="G22" s="145">
        <v>0</v>
      </c>
      <c r="H22" s="145"/>
      <c r="I22" s="132"/>
      <c r="J22" s="145"/>
      <c r="K22" s="132"/>
      <c r="L22" s="21"/>
      <c r="M22" s="21"/>
      <c r="N22" s="52"/>
      <c r="O22" s="134"/>
      <c r="P22" s="53"/>
      <c r="Q22" s="114"/>
      <c r="R22" s="52"/>
      <c r="S22" s="118"/>
      <c r="T22" s="136"/>
      <c r="U22" s="186"/>
      <c r="V22" s="145"/>
      <c r="W22" s="145"/>
      <c r="X22" s="145"/>
      <c r="Y22" s="187"/>
      <c r="Z22" s="135"/>
      <c r="AA22" s="136"/>
      <c r="AB22" s="46"/>
    </row>
    <row r="23" spans="1:28" s="11" customFormat="1" ht="26.25" customHeight="1" x14ac:dyDescent="0.2">
      <c r="A23" s="23" t="s">
        <v>8</v>
      </c>
      <c r="B23" s="85"/>
      <c r="C23" s="102">
        <f>C24+C30+C31+C35+C36+C45+C46+C32</f>
        <v>3437506.8900000006</v>
      </c>
      <c r="D23" s="102">
        <f>D24+D30+D31+D35+D36+D45+D46+D32</f>
        <v>3568776.6700000004</v>
      </c>
      <c r="E23" s="146">
        <f>E24+E30+E31+E36+E45+E32+E35</f>
        <v>3576241.6200000006</v>
      </c>
      <c r="F23" s="102">
        <f>F24+F30+F31+F36+F45+F46+F32</f>
        <v>1482192.2699999998</v>
      </c>
      <c r="G23" s="146">
        <f>G24+G30+G31+G36+G45+G32+G35</f>
        <v>4251396.04</v>
      </c>
      <c r="H23" s="146"/>
      <c r="I23" s="146">
        <f>I24+I30+I31+I36+I45+I32+I35</f>
        <v>3194703</v>
      </c>
      <c r="J23" s="146">
        <f>J24+J30+J31+J33+J36+J45+J32+J35</f>
        <v>4363591.0999999996</v>
      </c>
      <c r="K23" s="146">
        <f>K24+K30+K31+K36+K45+K32</f>
        <v>3843520.03</v>
      </c>
      <c r="L23" s="103">
        <f>L24+L30+L31+L36+L45</f>
        <v>0</v>
      </c>
      <c r="M23" s="103">
        <f>M24+M30+M31+M36+M45</f>
        <v>0</v>
      </c>
      <c r="N23" s="147"/>
      <c r="O23" s="148">
        <f>O24+O30+O31+O36+O45</f>
        <v>76718.180999999982</v>
      </c>
      <c r="P23" s="149"/>
      <c r="Q23" s="150">
        <f>Q24+Q30+Q31+Q36+Q45+Q32</f>
        <v>3766801.8489999995</v>
      </c>
      <c r="R23" s="147">
        <f>R24+R30+R31+R36+R45</f>
        <v>0</v>
      </c>
      <c r="S23" s="103">
        <f>S24+S30+S31+S36+S45</f>
        <v>0</v>
      </c>
      <c r="T23" s="151">
        <f>(T24+T30+T33+T36+T45+T32+T35+T31)</f>
        <v>3766801.8489999995</v>
      </c>
      <c r="U23" s="191">
        <f>U24+U30+U31+U36+U45</f>
        <v>0</v>
      </c>
      <c r="V23" s="192">
        <f>V24+V30+V31+V36+V45</f>
        <v>0</v>
      </c>
      <c r="W23" s="192">
        <f>W24+W30+W31+W36+W45</f>
        <v>0</v>
      </c>
      <c r="X23" s="192">
        <f>X24+X30+X31+X36+X45</f>
        <v>0</v>
      </c>
      <c r="Y23" s="193">
        <f>Y24+Y30+Y31+Y36+Y45</f>
        <v>1804</v>
      </c>
      <c r="Z23" s="200">
        <f t="shared" ref="Z23:AA23" si="8">(Z24+Z30+Z33+Z36+Z45+Z32+Z35+Z31)</f>
        <v>3994522.9599999995</v>
      </c>
      <c r="AA23" s="151">
        <f t="shared" si="8"/>
        <v>3950894.3799999994</v>
      </c>
      <c r="AB23" s="45"/>
    </row>
    <row r="24" spans="1:28" s="6" customFormat="1" ht="42.75" customHeight="1" x14ac:dyDescent="0.2">
      <c r="A24" s="86" t="s">
        <v>9</v>
      </c>
      <c r="B24" s="89" t="s">
        <v>58</v>
      </c>
      <c r="C24" s="112">
        <f>SUM(C25:C29)</f>
        <v>1961756.9500000002</v>
      </c>
      <c r="D24" s="112">
        <f>SUM(D25:D29)</f>
        <v>1806685.4500000002</v>
      </c>
      <c r="E24" s="132">
        <f t="shared" ref="E24" si="9">SUM(E25:E29)</f>
        <v>2077814.52</v>
      </c>
      <c r="F24" s="112">
        <f>SUM(F25:F29)</f>
        <v>676165.18</v>
      </c>
      <c r="G24" s="132">
        <f t="shared" ref="G24:AA24" si="10">SUM(G25:G29)</f>
        <v>2410842</v>
      </c>
      <c r="H24" s="132"/>
      <c r="I24" s="132">
        <f>SUM(I25:I29)</f>
        <v>2046220.8800000001</v>
      </c>
      <c r="J24" s="132">
        <f>SUM(J25:J29)</f>
        <v>2532505.6000000001</v>
      </c>
      <c r="K24" s="132">
        <f t="shared" si="10"/>
        <v>2368886.5799999996</v>
      </c>
      <c r="L24" s="21">
        <f t="shared" si="10"/>
        <v>0</v>
      </c>
      <c r="M24" s="21">
        <f t="shared" si="10"/>
        <v>0</v>
      </c>
      <c r="N24" s="52"/>
      <c r="O24" s="134">
        <f t="shared" si="10"/>
        <v>0</v>
      </c>
      <c r="P24" s="53">
        <v>100</v>
      </c>
      <c r="Q24" s="114">
        <f t="shared" si="10"/>
        <v>2368886.5799999996</v>
      </c>
      <c r="R24" s="52">
        <f t="shared" si="10"/>
        <v>0</v>
      </c>
      <c r="S24" s="118">
        <f t="shared" si="10"/>
        <v>0</v>
      </c>
      <c r="T24" s="136">
        <f t="shared" si="10"/>
        <v>2368886.5799999996</v>
      </c>
      <c r="U24" s="186">
        <f t="shared" si="10"/>
        <v>0</v>
      </c>
      <c r="V24" s="145">
        <f t="shared" si="10"/>
        <v>0</v>
      </c>
      <c r="W24" s="145">
        <f t="shared" si="10"/>
        <v>0</v>
      </c>
      <c r="X24" s="145">
        <f t="shared" si="10"/>
        <v>0</v>
      </c>
      <c r="Y24" s="187">
        <v>1804</v>
      </c>
      <c r="Z24" s="201">
        <f t="shared" si="10"/>
        <v>2316389.6199999996</v>
      </c>
      <c r="AA24" s="136">
        <f t="shared" si="10"/>
        <v>2316389.6199999996</v>
      </c>
      <c r="AB24" s="46"/>
    </row>
    <row r="25" spans="1:28" s="10" customFormat="1" ht="86.25" customHeight="1" x14ac:dyDescent="0.2">
      <c r="A25" s="88" t="s">
        <v>26</v>
      </c>
      <c r="B25" s="90" t="s">
        <v>59</v>
      </c>
      <c r="C25" s="121">
        <v>409272.13</v>
      </c>
      <c r="D25" s="121">
        <v>439026.67</v>
      </c>
      <c r="E25" s="122">
        <v>508128.91</v>
      </c>
      <c r="F25" s="121">
        <v>204640.06</v>
      </c>
      <c r="G25" s="122">
        <v>474000</v>
      </c>
      <c r="H25" s="122">
        <f>I25+F25</f>
        <v>629239.67999999993</v>
      </c>
      <c r="I25" s="152">
        <v>424599.62</v>
      </c>
      <c r="J25" s="122">
        <f>SUM(G25)+190100.38</f>
        <v>664100.38</v>
      </c>
      <c r="K25" s="152">
        <v>695904.92</v>
      </c>
      <c r="L25" s="153"/>
      <c r="M25" s="154">
        <f t="shared" ref="M25:M33" si="11">SUM(K25*L25/100)</f>
        <v>0</v>
      </c>
      <c r="N25" s="56">
        <v>0</v>
      </c>
      <c r="O25" s="155">
        <f>SUM(K25/100*N25)</f>
        <v>0</v>
      </c>
      <c r="P25" s="57">
        <v>100</v>
      </c>
      <c r="Q25" s="156">
        <f>SUM(K25)/100*P25</f>
        <v>695904.92</v>
      </c>
      <c r="R25" s="56"/>
      <c r="S25" s="143">
        <f t="shared" ref="S25:S33" si="12">SUM(K25*R25/100)</f>
        <v>0</v>
      </c>
      <c r="T25" s="184">
        <f>SUM(Q25)</f>
        <v>695904.92</v>
      </c>
      <c r="U25" s="127"/>
      <c r="V25" s="128"/>
      <c r="W25" s="129"/>
      <c r="X25" s="129"/>
      <c r="Y25" s="130"/>
      <c r="Z25" s="141">
        <v>695904.92</v>
      </c>
      <c r="AA25" s="142">
        <v>695904.92</v>
      </c>
      <c r="AB25" s="47" t="s">
        <v>77</v>
      </c>
    </row>
    <row r="26" spans="1:28" s="10" customFormat="1" ht="84.75" customHeight="1" x14ac:dyDescent="0.2">
      <c r="A26" s="88" t="s">
        <v>65</v>
      </c>
      <c r="B26" s="91" t="s">
        <v>42</v>
      </c>
      <c r="C26" s="121">
        <v>694481.53</v>
      </c>
      <c r="D26" s="121">
        <v>724041.32</v>
      </c>
      <c r="E26" s="122">
        <v>797770.63</v>
      </c>
      <c r="F26" s="121">
        <v>204762.21</v>
      </c>
      <c r="G26" s="122">
        <v>838000</v>
      </c>
      <c r="H26" s="122">
        <f>I26+F26</f>
        <v>797832.94</v>
      </c>
      <c r="I26" s="122">
        <v>593070.73</v>
      </c>
      <c r="J26" s="122">
        <f>SUM(G26)-78500.22</f>
        <v>759499.78</v>
      </c>
      <c r="K26" s="122">
        <v>764018.44</v>
      </c>
      <c r="L26" s="123"/>
      <c r="M26" s="124">
        <f t="shared" si="11"/>
        <v>0</v>
      </c>
      <c r="N26" s="50"/>
      <c r="O26" s="133"/>
      <c r="P26" s="51">
        <v>100</v>
      </c>
      <c r="Q26" s="126">
        <f t="shared" ref="Q26:Q45" si="13">SUM(K26*P26/100)</f>
        <v>764018.44</v>
      </c>
      <c r="R26" s="50"/>
      <c r="S26" s="143">
        <f t="shared" si="12"/>
        <v>0</v>
      </c>
      <c r="T26" s="184">
        <f>SUM(Q26)</f>
        <v>764018.44</v>
      </c>
      <c r="U26" s="127"/>
      <c r="V26" s="128"/>
      <c r="W26" s="129"/>
      <c r="X26" s="129"/>
      <c r="Y26" s="130"/>
      <c r="Z26" s="141">
        <v>750462.46</v>
      </c>
      <c r="AA26" s="142">
        <v>750462.46</v>
      </c>
      <c r="AB26" s="47" t="s">
        <v>77</v>
      </c>
    </row>
    <row r="27" spans="1:28" s="10" customFormat="1" ht="99.75" customHeight="1" x14ac:dyDescent="0.2">
      <c r="A27" s="88" t="s">
        <v>86</v>
      </c>
      <c r="B27" s="91" t="s">
        <v>85</v>
      </c>
      <c r="C27" s="121">
        <v>160.68</v>
      </c>
      <c r="D27" s="121">
        <v>349.08</v>
      </c>
      <c r="E27" s="122">
        <v>842.27</v>
      </c>
      <c r="F27" s="121">
        <v>649.89</v>
      </c>
      <c r="G27" s="122">
        <v>542</v>
      </c>
      <c r="H27" s="122"/>
      <c r="I27" s="122">
        <v>0</v>
      </c>
      <c r="J27" s="122">
        <f>SUM(G27)</f>
        <v>542</v>
      </c>
      <c r="K27" s="122">
        <v>647.91</v>
      </c>
      <c r="L27" s="123"/>
      <c r="M27" s="124"/>
      <c r="N27" s="50"/>
      <c r="O27" s="133"/>
      <c r="P27" s="51">
        <v>100</v>
      </c>
      <c r="Q27" s="126">
        <f t="shared" ref="Q27" si="14">SUM(K27*P27/100)</f>
        <v>647.91</v>
      </c>
      <c r="R27" s="50"/>
      <c r="S27" s="143">
        <f t="shared" ref="S27" si="15">SUM(K27*R27/100)</f>
        <v>0</v>
      </c>
      <c r="T27" s="184">
        <f>SUM(Q27)</f>
        <v>647.91</v>
      </c>
      <c r="U27" s="127"/>
      <c r="V27" s="128"/>
      <c r="W27" s="129"/>
      <c r="X27" s="129"/>
      <c r="Y27" s="130"/>
      <c r="Z27" s="141">
        <v>640.92999999999995</v>
      </c>
      <c r="AA27" s="142">
        <v>640.92999999999995</v>
      </c>
      <c r="AB27" s="47" t="s">
        <v>77</v>
      </c>
    </row>
    <row r="28" spans="1:28" s="10" customFormat="1" ht="58.5" customHeight="1" x14ac:dyDescent="0.2">
      <c r="A28" s="88" t="s">
        <v>27</v>
      </c>
      <c r="B28" s="91" t="s">
        <v>30</v>
      </c>
      <c r="C28" s="121">
        <v>204999</v>
      </c>
      <c r="D28" s="121">
        <v>61750</v>
      </c>
      <c r="E28" s="122">
        <v>76570</v>
      </c>
      <c r="F28" s="121">
        <v>0</v>
      </c>
      <c r="G28" s="122">
        <v>426300</v>
      </c>
      <c r="H28" s="122">
        <f>I28+F28</f>
        <v>426300</v>
      </c>
      <c r="I28" s="122">
        <v>426300</v>
      </c>
      <c r="J28" s="122">
        <f t="shared" ref="J28" si="16">SUM(G28)</f>
        <v>426300</v>
      </c>
      <c r="K28" s="122">
        <v>200666.67</v>
      </c>
      <c r="L28" s="123"/>
      <c r="M28" s="124">
        <f t="shared" si="11"/>
        <v>0</v>
      </c>
      <c r="N28" s="50"/>
      <c r="O28" s="133"/>
      <c r="P28" s="51">
        <v>100</v>
      </c>
      <c r="Q28" s="126">
        <f t="shared" si="13"/>
        <v>200666.67</v>
      </c>
      <c r="R28" s="50"/>
      <c r="S28" s="143">
        <f t="shared" si="12"/>
        <v>0</v>
      </c>
      <c r="T28" s="184">
        <f>SUM(Q28)</f>
        <v>200666.67</v>
      </c>
      <c r="U28" s="127"/>
      <c r="V28" s="128"/>
      <c r="W28" s="129"/>
      <c r="X28" s="129"/>
      <c r="Y28" s="130"/>
      <c r="Z28" s="141">
        <v>200666.67</v>
      </c>
      <c r="AA28" s="142">
        <v>200666.67</v>
      </c>
      <c r="AB28" s="47" t="s">
        <v>77</v>
      </c>
    </row>
    <row r="29" spans="1:28" s="10" customFormat="1" ht="61.5" customHeight="1" x14ac:dyDescent="0.25">
      <c r="A29" s="92" t="s">
        <v>80</v>
      </c>
      <c r="B29" s="91" t="s">
        <v>43</v>
      </c>
      <c r="C29" s="121">
        <v>652843.61</v>
      </c>
      <c r="D29" s="121">
        <v>581518.38</v>
      </c>
      <c r="E29" s="122">
        <v>694502.71</v>
      </c>
      <c r="F29" s="121">
        <v>266113.02</v>
      </c>
      <c r="G29" s="122">
        <v>672000</v>
      </c>
      <c r="H29" s="122">
        <f>I29+F29</f>
        <v>868363.55</v>
      </c>
      <c r="I29" s="122">
        <v>602250.53</v>
      </c>
      <c r="J29" s="122">
        <f>SUM(G29)+10063.44</f>
        <v>682063.44</v>
      </c>
      <c r="K29" s="122">
        <v>707648.64</v>
      </c>
      <c r="L29" s="123"/>
      <c r="M29" s="124">
        <f t="shared" si="11"/>
        <v>0</v>
      </c>
      <c r="N29" s="50"/>
      <c r="O29" s="133"/>
      <c r="P29" s="51">
        <v>100</v>
      </c>
      <c r="Q29" s="126">
        <f t="shared" si="13"/>
        <v>707648.64</v>
      </c>
      <c r="R29" s="50"/>
      <c r="S29" s="143">
        <f t="shared" si="12"/>
        <v>0</v>
      </c>
      <c r="T29" s="184">
        <f t="shared" ref="T29:T45" si="17">SUM(Q29+S29)</f>
        <v>707648.64</v>
      </c>
      <c r="U29" s="127"/>
      <c r="V29" s="128"/>
      <c r="W29" s="129"/>
      <c r="X29" s="129"/>
      <c r="Y29" s="130"/>
      <c r="Z29" s="141">
        <v>668714.64</v>
      </c>
      <c r="AA29" s="142">
        <v>668714.64</v>
      </c>
      <c r="AB29" s="47" t="s">
        <v>77</v>
      </c>
    </row>
    <row r="30" spans="1:28" s="6" customFormat="1" ht="31.5" customHeight="1" x14ac:dyDescent="0.2">
      <c r="A30" s="86" t="s">
        <v>10</v>
      </c>
      <c r="B30" s="93" t="s">
        <v>69</v>
      </c>
      <c r="C30" s="112">
        <v>323023.33</v>
      </c>
      <c r="D30" s="112">
        <v>431990.17</v>
      </c>
      <c r="E30" s="132">
        <v>112854.74</v>
      </c>
      <c r="F30" s="112">
        <v>-33247.449999999997</v>
      </c>
      <c r="G30" s="132">
        <v>78700</v>
      </c>
      <c r="H30" s="122">
        <f>I30+F30</f>
        <v>-15188.379999999997</v>
      </c>
      <c r="I30" s="132">
        <v>18059.07</v>
      </c>
      <c r="J30" s="132">
        <f>SUM(G30)-12600</f>
        <v>66100</v>
      </c>
      <c r="K30" s="132">
        <v>135818.18</v>
      </c>
      <c r="L30" s="157"/>
      <c r="M30" s="21">
        <f t="shared" si="11"/>
        <v>0</v>
      </c>
      <c r="N30" s="50">
        <v>45</v>
      </c>
      <c r="O30" s="125">
        <f>SUM(K30)/100*N30</f>
        <v>61118.18099999999</v>
      </c>
      <c r="P30" s="51">
        <v>55</v>
      </c>
      <c r="Q30" s="114">
        <f>SUM(K30)/100*P30</f>
        <v>74699.998999999996</v>
      </c>
      <c r="R30" s="58"/>
      <c r="S30" s="158">
        <f t="shared" si="12"/>
        <v>0</v>
      </c>
      <c r="T30" s="185">
        <f t="shared" si="17"/>
        <v>74699.998999999996</v>
      </c>
      <c r="U30" s="194"/>
      <c r="V30" s="145"/>
      <c r="W30" s="195"/>
      <c r="X30" s="195"/>
      <c r="Y30" s="187"/>
      <c r="Z30" s="135">
        <v>74700</v>
      </c>
      <c r="AA30" s="136">
        <v>74700</v>
      </c>
      <c r="AB30" s="46" t="s">
        <v>88</v>
      </c>
    </row>
    <row r="31" spans="1:28" s="6" customFormat="1" ht="30" customHeight="1" x14ac:dyDescent="0.2">
      <c r="A31" s="86" t="s">
        <v>93</v>
      </c>
      <c r="B31" s="93" t="s">
        <v>53</v>
      </c>
      <c r="C31" s="112">
        <v>15425.57</v>
      </c>
      <c r="D31" s="112">
        <v>0</v>
      </c>
      <c r="E31" s="132">
        <v>2523.44</v>
      </c>
      <c r="F31" s="112">
        <v>2523.44</v>
      </c>
      <c r="G31" s="132">
        <v>0</v>
      </c>
      <c r="H31" s="132">
        <f>I31+F31</f>
        <v>2523.44</v>
      </c>
      <c r="I31" s="132">
        <v>0</v>
      </c>
      <c r="J31" s="145">
        <v>0</v>
      </c>
      <c r="K31" s="132"/>
      <c r="L31" s="157"/>
      <c r="M31" s="21">
        <f t="shared" si="11"/>
        <v>0</v>
      </c>
      <c r="N31" s="58"/>
      <c r="O31" s="134"/>
      <c r="P31" s="51">
        <v>100</v>
      </c>
      <c r="Q31" s="114">
        <f t="shared" si="13"/>
        <v>0</v>
      </c>
      <c r="R31" s="58"/>
      <c r="S31" s="158">
        <f t="shared" si="12"/>
        <v>0</v>
      </c>
      <c r="T31" s="185">
        <f t="shared" si="17"/>
        <v>0</v>
      </c>
      <c r="U31" s="194"/>
      <c r="V31" s="145"/>
      <c r="W31" s="195"/>
      <c r="X31" s="195"/>
      <c r="Y31" s="187"/>
      <c r="Z31" s="135"/>
      <c r="AA31" s="136"/>
      <c r="AB31" s="46"/>
    </row>
    <row r="32" spans="1:28" s="6" customFormat="1" ht="33" customHeight="1" x14ac:dyDescent="0.2">
      <c r="A32" s="86" t="s">
        <v>64</v>
      </c>
      <c r="B32" s="93" t="s">
        <v>46</v>
      </c>
      <c r="C32" s="112">
        <v>444899.91</v>
      </c>
      <c r="D32" s="112">
        <v>175060.77</v>
      </c>
      <c r="E32" s="132">
        <v>548181.43000000005</v>
      </c>
      <c r="F32" s="112">
        <v>122396.91</v>
      </c>
      <c r="G32" s="132">
        <v>516182.01</v>
      </c>
      <c r="H32" s="122">
        <f>I32+F32</f>
        <v>507901.36</v>
      </c>
      <c r="I32" s="132">
        <v>385504.45</v>
      </c>
      <c r="J32" s="132">
        <f>SUM(G32)</f>
        <v>516182.01</v>
      </c>
      <c r="K32" s="132">
        <f>14783.6+81739.89+292857.21</f>
        <v>389380.7</v>
      </c>
      <c r="L32" s="157"/>
      <c r="M32" s="21"/>
      <c r="N32" s="58"/>
      <c r="O32" s="134"/>
      <c r="P32" s="51">
        <v>100</v>
      </c>
      <c r="Q32" s="114">
        <f>SUM(K32)</f>
        <v>389380.7</v>
      </c>
      <c r="R32" s="58"/>
      <c r="S32" s="158"/>
      <c r="T32" s="185">
        <f t="shared" si="17"/>
        <v>389380.7</v>
      </c>
      <c r="U32" s="194"/>
      <c r="V32" s="145"/>
      <c r="W32" s="195"/>
      <c r="X32" s="195"/>
      <c r="Y32" s="187"/>
      <c r="Z32" s="135">
        <f>20074+69959.07+323108.33</f>
        <v>413141.4</v>
      </c>
      <c r="AA32" s="136">
        <f>18865.07+73914.54+391801.77</f>
        <v>484581.38</v>
      </c>
      <c r="AB32" s="49" t="s">
        <v>89</v>
      </c>
    </row>
    <row r="33" spans="1:28" s="6" customFormat="1" ht="19.5" hidden="1" customHeight="1" x14ac:dyDescent="0.2">
      <c r="A33" s="86" t="s">
        <v>50</v>
      </c>
      <c r="B33" s="93"/>
      <c r="C33" s="112"/>
      <c r="D33" s="112"/>
      <c r="E33" s="132"/>
      <c r="F33" s="112"/>
      <c r="G33" s="132"/>
      <c r="H33" s="132"/>
      <c r="I33" s="132">
        <v>0</v>
      </c>
      <c r="J33" s="145"/>
      <c r="K33" s="132"/>
      <c r="L33" s="157"/>
      <c r="M33" s="21">
        <f t="shared" si="11"/>
        <v>0</v>
      </c>
      <c r="N33" s="58"/>
      <c r="O33" s="134"/>
      <c r="P33" s="51"/>
      <c r="Q33" s="114"/>
      <c r="R33" s="58"/>
      <c r="S33" s="158">
        <f t="shared" si="12"/>
        <v>0</v>
      </c>
      <c r="T33" s="185"/>
      <c r="U33" s="194"/>
      <c r="V33" s="145"/>
      <c r="W33" s="195"/>
      <c r="X33" s="195"/>
      <c r="Y33" s="187"/>
      <c r="Z33" s="135"/>
      <c r="AA33" s="136"/>
      <c r="AB33" s="46"/>
    </row>
    <row r="34" spans="1:28" s="6" customFormat="1" ht="52.5" hidden="1" customHeight="1" x14ac:dyDescent="0.2">
      <c r="A34" s="86" t="s">
        <v>71</v>
      </c>
      <c r="B34" s="93" t="s">
        <v>67</v>
      </c>
      <c r="C34" s="112"/>
      <c r="D34" s="112"/>
      <c r="E34" s="132"/>
      <c r="F34" s="112"/>
      <c r="G34" s="132"/>
      <c r="H34" s="132"/>
      <c r="I34" s="132"/>
      <c r="J34" s="145"/>
      <c r="K34" s="132"/>
      <c r="L34" s="157"/>
      <c r="M34" s="21"/>
      <c r="N34" s="58"/>
      <c r="O34" s="134"/>
      <c r="P34" s="51"/>
      <c r="Q34" s="114"/>
      <c r="R34" s="58"/>
      <c r="S34" s="158"/>
      <c r="T34" s="185"/>
      <c r="U34" s="194"/>
      <c r="V34" s="145"/>
      <c r="W34" s="195"/>
      <c r="X34" s="195"/>
      <c r="Y34" s="187"/>
      <c r="Z34" s="135"/>
      <c r="AA34" s="136"/>
      <c r="AB34" s="46"/>
    </row>
    <row r="35" spans="1:28" s="6" customFormat="1" ht="42" customHeight="1" x14ac:dyDescent="0.2">
      <c r="A35" s="86" t="s">
        <v>72</v>
      </c>
      <c r="B35" s="93" t="s">
        <v>84</v>
      </c>
      <c r="C35" s="112">
        <v>117000.2</v>
      </c>
      <c r="D35" s="112">
        <v>0</v>
      </c>
      <c r="E35" s="132">
        <v>0</v>
      </c>
      <c r="F35" s="112"/>
      <c r="G35" s="132">
        <v>0</v>
      </c>
      <c r="H35" s="132"/>
      <c r="I35" s="132">
        <v>0</v>
      </c>
      <c r="J35" s="145">
        <f>SUM(G35)</f>
        <v>0</v>
      </c>
      <c r="K35" s="132"/>
      <c r="L35" s="157"/>
      <c r="M35" s="21"/>
      <c r="N35" s="58"/>
      <c r="O35" s="134"/>
      <c r="P35" s="51">
        <v>100</v>
      </c>
      <c r="Q35" s="114">
        <f>SUM(K35)</f>
        <v>0</v>
      </c>
      <c r="R35" s="58"/>
      <c r="S35" s="158"/>
      <c r="T35" s="185">
        <f t="shared" ref="T35" si="18">SUM(Q35+S35)</f>
        <v>0</v>
      </c>
      <c r="U35" s="194"/>
      <c r="V35" s="145"/>
      <c r="W35" s="195"/>
      <c r="X35" s="195"/>
      <c r="Y35" s="187"/>
      <c r="Z35" s="135"/>
      <c r="AA35" s="136"/>
      <c r="AB35" s="46"/>
    </row>
    <row r="36" spans="1:28" s="6" customFormat="1" ht="26.25" customHeight="1" x14ac:dyDescent="0.2">
      <c r="A36" s="86" t="s">
        <v>11</v>
      </c>
      <c r="B36" s="89" t="s">
        <v>24</v>
      </c>
      <c r="C36" s="113">
        <f>SUM(C37:C44)</f>
        <v>596867.60000000009</v>
      </c>
      <c r="D36" s="113">
        <f>SUM(D37:D44)</f>
        <v>1154718.32</v>
      </c>
      <c r="E36" s="132">
        <f>SUM(E37:E44)</f>
        <v>834867.49</v>
      </c>
      <c r="F36" s="113">
        <f>SUM(F37:F44)</f>
        <v>714354.19</v>
      </c>
      <c r="G36" s="132">
        <f>SUM(G37:G44)</f>
        <v>1244803.49</v>
      </c>
      <c r="H36" s="132"/>
      <c r="I36" s="132">
        <f>SUM(I37:I44)</f>
        <v>735303.8899999999</v>
      </c>
      <c r="J36" s="132">
        <f>SUM(J37:J44)</f>
        <v>1248803.49</v>
      </c>
      <c r="K36" s="132">
        <f>SUM(K37:K44)</f>
        <v>949327.25</v>
      </c>
      <c r="L36" s="118">
        <f>SUM(L37:L44)</f>
        <v>0</v>
      </c>
      <c r="M36" s="118">
        <f>SUM(M37:M44)</f>
        <v>0</v>
      </c>
      <c r="N36" s="139"/>
      <c r="O36" s="159">
        <f>SUM(O37:O44)</f>
        <v>15600</v>
      </c>
      <c r="P36" s="160"/>
      <c r="Q36" s="114">
        <f t="shared" ref="Q36:AA36" si="19">SUM(Q37:Q44)</f>
        <v>933727.25</v>
      </c>
      <c r="R36" s="139">
        <f t="shared" si="19"/>
        <v>0</v>
      </c>
      <c r="S36" s="118">
        <f t="shared" si="19"/>
        <v>0</v>
      </c>
      <c r="T36" s="136">
        <f t="shared" si="19"/>
        <v>933727.25</v>
      </c>
      <c r="U36" s="186">
        <f t="shared" si="19"/>
        <v>0</v>
      </c>
      <c r="V36" s="145">
        <f t="shared" si="19"/>
        <v>0</v>
      </c>
      <c r="W36" s="145">
        <f t="shared" si="19"/>
        <v>0</v>
      </c>
      <c r="X36" s="145">
        <f t="shared" si="19"/>
        <v>0</v>
      </c>
      <c r="Y36" s="196">
        <f t="shared" si="19"/>
        <v>0</v>
      </c>
      <c r="Z36" s="201">
        <f t="shared" si="19"/>
        <v>1189895.1099999999</v>
      </c>
      <c r="AA36" s="136">
        <f t="shared" si="19"/>
        <v>1074898.0899999999</v>
      </c>
      <c r="AB36" s="46"/>
    </row>
    <row r="37" spans="1:28" s="12" customFormat="1" ht="38.25" customHeight="1" x14ac:dyDescent="0.2">
      <c r="A37" s="88" t="s">
        <v>25</v>
      </c>
      <c r="B37" s="87" t="s">
        <v>44</v>
      </c>
      <c r="C37" s="121">
        <v>4516.04</v>
      </c>
      <c r="D37" s="121">
        <v>900</v>
      </c>
      <c r="E37" s="122">
        <v>8783.9599999999991</v>
      </c>
      <c r="F37" s="121">
        <v>100</v>
      </c>
      <c r="G37" s="122">
        <v>15000</v>
      </c>
      <c r="H37" s="122">
        <f>I37+F37</f>
        <v>2547.6999999999998</v>
      </c>
      <c r="I37" s="122">
        <v>2447.6999999999998</v>
      </c>
      <c r="J37" s="122">
        <f>SUM(G37)</f>
        <v>15000</v>
      </c>
      <c r="K37" s="122">
        <v>31200</v>
      </c>
      <c r="L37" s="123"/>
      <c r="M37" s="124"/>
      <c r="N37" s="50">
        <v>50</v>
      </c>
      <c r="O37" s="125">
        <f>SUM(K37)/100*N37</f>
        <v>15600</v>
      </c>
      <c r="P37" s="51">
        <v>50</v>
      </c>
      <c r="Q37" s="126">
        <f>SUM(K37)/100*50</f>
        <v>15600</v>
      </c>
      <c r="R37" s="50"/>
      <c r="S37" s="143"/>
      <c r="T37" s="184">
        <f>SUM(Q37)</f>
        <v>15600</v>
      </c>
      <c r="U37" s="127"/>
      <c r="V37" s="128"/>
      <c r="W37" s="129"/>
      <c r="X37" s="129"/>
      <c r="Y37" s="130"/>
      <c r="Z37" s="141">
        <v>16220</v>
      </c>
      <c r="AA37" s="142">
        <v>16870</v>
      </c>
      <c r="AB37" s="49" t="s">
        <v>75</v>
      </c>
    </row>
    <row r="38" spans="1:28" s="12" customFormat="1" ht="48.75" customHeight="1" x14ac:dyDescent="0.2">
      <c r="A38" s="88" t="s">
        <v>97</v>
      </c>
      <c r="B38" s="87" t="s">
        <v>96</v>
      </c>
      <c r="C38" s="121"/>
      <c r="D38" s="121"/>
      <c r="E38" s="122">
        <v>150</v>
      </c>
      <c r="F38" s="121">
        <v>0</v>
      </c>
      <c r="G38" s="122">
        <v>0</v>
      </c>
      <c r="H38" s="122"/>
      <c r="I38" s="122">
        <v>150</v>
      </c>
      <c r="J38" s="122">
        <v>0</v>
      </c>
      <c r="K38" s="122"/>
      <c r="L38" s="123"/>
      <c r="M38" s="124"/>
      <c r="N38" s="50"/>
      <c r="O38" s="133"/>
      <c r="P38" s="51"/>
      <c r="Q38" s="126"/>
      <c r="R38" s="50"/>
      <c r="S38" s="143"/>
      <c r="T38" s="184"/>
      <c r="U38" s="127"/>
      <c r="V38" s="128"/>
      <c r="W38" s="129"/>
      <c r="X38" s="129"/>
      <c r="Y38" s="130"/>
      <c r="Z38" s="141"/>
      <c r="AA38" s="142"/>
      <c r="AB38" s="48"/>
    </row>
    <row r="39" spans="1:28" s="12" customFormat="1" ht="13.5" hidden="1" customHeight="1" x14ac:dyDescent="0.2">
      <c r="A39" s="88" t="s">
        <v>70</v>
      </c>
      <c r="B39" s="87" t="s">
        <v>68</v>
      </c>
      <c r="C39" s="121"/>
      <c r="D39" s="121"/>
      <c r="E39" s="122"/>
      <c r="F39" s="121"/>
      <c r="G39" s="122"/>
      <c r="H39" s="122"/>
      <c r="I39" s="122"/>
      <c r="J39" s="122"/>
      <c r="K39" s="122"/>
      <c r="L39" s="123"/>
      <c r="M39" s="124"/>
      <c r="N39" s="50"/>
      <c r="O39" s="133"/>
      <c r="P39" s="51"/>
      <c r="Q39" s="126"/>
      <c r="R39" s="50"/>
      <c r="S39" s="143"/>
      <c r="T39" s="184"/>
      <c r="U39" s="127"/>
      <c r="V39" s="128"/>
      <c r="W39" s="129"/>
      <c r="X39" s="129"/>
      <c r="Y39" s="130"/>
      <c r="Z39" s="141"/>
      <c r="AA39" s="142"/>
      <c r="AB39" s="48"/>
    </row>
    <row r="40" spans="1:28" s="12" customFormat="1" ht="38.25" customHeight="1" x14ac:dyDescent="0.2">
      <c r="A40" s="88" t="s">
        <v>37</v>
      </c>
      <c r="B40" s="87" t="s">
        <v>106</v>
      </c>
      <c r="C40" s="121">
        <v>9500</v>
      </c>
      <c r="D40" s="121">
        <v>250</v>
      </c>
      <c r="E40" s="122">
        <v>180</v>
      </c>
      <c r="F40" s="121">
        <v>180</v>
      </c>
      <c r="G40" s="122">
        <v>0</v>
      </c>
      <c r="H40" s="122">
        <f>I40+F40</f>
        <v>180</v>
      </c>
      <c r="I40" s="122"/>
      <c r="J40" s="122">
        <f>SUM(G40)</f>
        <v>0</v>
      </c>
      <c r="K40" s="126">
        <v>0</v>
      </c>
      <c r="L40" s="123"/>
      <c r="M40" s="124"/>
      <c r="N40" s="50"/>
      <c r="O40" s="133"/>
      <c r="P40" s="51">
        <v>100</v>
      </c>
      <c r="Q40" s="126">
        <f>SUM(K40)</f>
        <v>0</v>
      </c>
      <c r="R40" s="50"/>
      <c r="S40" s="143"/>
      <c r="T40" s="184">
        <f>SUM(Q40)</f>
        <v>0</v>
      </c>
      <c r="U40" s="127"/>
      <c r="V40" s="128"/>
      <c r="W40" s="129"/>
      <c r="X40" s="129"/>
      <c r="Y40" s="130"/>
      <c r="Z40" s="141"/>
      <c r="AA40" s="142"/>
      <c r="AB40" s="49" t="s">
        <v>92</v>
      </c>
    </row>
    <row r="41" spans="1:28" s="12" customFormat="1" ht="62.25" customHeight="1" x14ac:dyDescent="0.2">
      <c r="A41" s="88" t="s">
        <v>83</v>
      </c>
      <c r="B41" s="87" t="s">
        <v>82</v>
      </c>
      <c r="C41" s="121">
        <v>0</v>
      </c>
      <c r="D41" s="121">
        <v>0</v>
      </c>
      <c r="E41" s="122"/>
      <c r="F41" s="121">
        <v>0</v>
      </c>
      <c r="G41" s="122">
        <v>1000</v>
      </c>
      <c r="H41" s="122"/>
      <c r="I41" s="122">
        <v>500</v>
      </c>
      <c r="J41" s="122">
        <f>SUM(G41)</f>
        <v>1000</v>
      </c>
      <c r="K41" s="122"/>
      <c r="L41" s="123"/>
      <c r="M41" s="124"/>
      <c r="N41" s="50"/>
      <c r="O41" s="133"/>
      <c r="P41" s="51"/>
      <c r="Q41" s="140"/>
      <c r="R41" s="50"/>
      <c r="S41" s="143"/>
      <c r="T41" s="184"/>
      <c r="U41" s="127"/>
      <c r="V41" s="128"/>
      <c r="W41" s="129"/>
      <c r="X41" s="129"/>
      <c r="Y41" s="130"/>
      <c r="Z41" s="141"/>
      <c r="AA41" s="142"/>
      <c r="AB41" s="48"/>
    </row>
    <row r="42" spans="1:28" s="12" customFormat="1" ht="55.5" hidden="1" customHeight="1" x14ac:dyDescent="0.2">
      <c r="A42" s="88" t="s">
        <v>61</v>
      </c>
      <c r="B42" s="87" t="s">
        <v>60</v>
      </c>
      <c r="C42" s="121">
        <v>0</v>
      </c>
      <c r="D42" s="121">
        <v>0</v>
      </c>
      <c r="E42" s="122"/>
      <c r="F42" s="121">
        <v>0</v>
      </c>
      <c r="G42" s="122"/>
      <c r="H42" s="122"/>
      <c r="I42" s="122"/>
      <c r="J42" s="122"/>
      <c r="K42" s="122"/>
      <c r="L42" s="123"/>
      <c r="M42" s="124"/>
      <c r="N42" s="50"/>
      <c r="O42" s="133"/>
      <c r="P42" s="51"/>
      <c r="Q42" s="140"/>
      <c r="R42" s="50"/>
      <c r="S42" s="143"/>
      <c r="T42" s="184"/>
      <c r="U42" s="127"/>
      <c r="V42" s="128"/>
      <c r="W42" s="129"/>
      <c r="X42" s="129"/>
      <c r="Y42" s="130"/>
      <c r="Z42" s="141"/>
      <c r="AA42" s="142"/>
      <c r="AB42" s="48"/>
    </row>
    <row r="43" spans="1:28" s="12" customFormat="1" ht="64.5" customHeight="1" x14ac:dyDescent="0.2">
      <c r="A43" s="88" t="s">
        <v>108</v>
      </c>
      <c r="B43" s="87" t="s">
        <v>107</v>
      </c>
      <c r="C43" s="121"/>
      <c r="D43" s="121"/>
      <c r="E43" s="122"/>
      <c r="F43" s="121"/>
      <c r="G43" s="122">
        <v>15000</v>
      </c>
      <c r="H43" s="122"/>
      <c r="I43" s="122">
        <v>19000</v>
      </c>
      <c r="J43" s="122">
        <f>SUM(G43)+4000</f>
        <v>19000</v>
      </c>
      <c r="K43" s="122"/>
      <c r="L43" s="123"/>
      <c r="M43" s="124"/>
      <c r="N43" s="50"/>
      <c r="O43" s="133"/>
      <c r="P43" s="51"/>
      <c r="Q43" s="140"/>
      <c r="R43" s="50"/>
      <c r="S43" s="143"/>
      <c r="T43" s="184"/>
      <c r="U43" s="127"/>
      <c r="V43" s="128"/>
      <c r="W43" s="129"/>
      <c r="X43" s="129"/>
      <c r="Y43" s="130"/>
      <c r="Z43" s="141"/>
      <c r="AA43" s="142"/>
      <c r="AB43" s="48"/>
    </row>
    <row r="44" spans="1:28" s="12" customFormat="1" ht="54.75" customHeight="1" x14ac:dyDescent="0.2">
      <c r="A44" s="88" t="s">
        <v>28</v>
      </c>
      <c r="B44" s="87" t="s">
        <v>38</v>
      </c>
      <c r="C44" s="121">
        <v>582851.56000000006</v>
      </c>
      <c r="D44" s="121">
        <v>1153568.32</v>
      </c>
      <c r="E44" s="122">
        <v>825753.53</v>
      </c>
      <c r="F44" s="121">
        <v>714074.19</v>
      </c>
      <c r="G44" s="122">
        <v>1213803.49</v>
      </c>
      <c r="H44" s="122">
        <f>I44+F44</f>
        <v>1427280.38</v>
      </c>
      <c r="I44" s="122">
        <v>713206.19</v>
      </c>
      <c r="J44" s="122">
        <f>SUM(G44)</f>
        <v>1213803.49</v>
      </c>
      <c r="K44" s="122">
        <f>49766.32+718360.93+150000</f>
        <v>918127.25</v>
      </c>
      <c r="L44" s="123"/>
      <c r="M44" s="124"/>
      <c r="N44" s="50"/>
      <c r="O44" s="133"/>
      <c r="P44" s="51">
        <v>100</v>
      </c>
      <c r="Q44" s="126">
        <f>SUM(K44)</f>
        <v>918127.25</v>
      </c>
      <c r="R44" s="50"/>
      <c r="S44" s="143"/>
      <c r="T44" s="184">
        <f>SUM(Q44)</f>
        <v>918127.25</v>
      </c>
      <c r="U44" s="127"/>
      <c r="V44" s="128"/>
      <c r="W44" s="129"/>
      <c r="X44" s="129"/>
      <c r="Y44" s="130"/>
      <c r="Z44" s="141">
        <f>311.11+51357.53+942006.47+180000</f>
        <v>1173675.1099999999</v>
      </c>
      <c r="AA44" s="142">
        <f>311.11+43754.27+833962.71+180000</f>
        <v>1058028.0899999999</v>
      </c>
      <c r="AB44" s="49" t="s">
        <v>90</v>
      </c>
    </row>
    <row r="45" spans="1:28" s="6" customFormat="1" ht="15.75" x14ac:dyDescent="0.2">
      <c r="A45" s="86" t="s">
        <v>22</v>
      </c>
      <c r="B45" s="89" t="s">
        <v>39</v>
      </c>
      <c r="C45" s="112">
        <v>-21466.67</v>
      </c>
      <c r="D45" s="112">
        <v>321.95999999999998</v>
      </c>
      <c r="E45" s="132">
        <v>0</v>
      </c>
      <c r="F45" s="112">
        <v>0</v>
      </c>
      <c r="G45" s="132">
        <v>868.54</v>
      </c>
      <c r="H45" s="122">
        <f>I45+F45</f>
        <v>9614.7099999999991</v>
      </c>
      <c r="I45" s="132">
        <v>9614.7099999999991</v>
      </c>
      <c r="J45" s="132">
        <f>SUM(G45)*0</f>
        <v>0</v>
      </c>
      <c r="K45" s="132">
        <f>107.32</f>
        <v>107.32</v>
      </c>
      <c r="L45" s="157"/>
      <c r="M45" s="21">
        <f>SUM(K45*L45/100)</f>
        <v>0</v>
      </c>
      <c r="N45" s="58"/>
      <c r="O45" s="134">
        <f>SUM(K45*N45/100)</f>
        <v>0</v>
      </c>
      <c r="P45" s="59">
        <v>100</v>
      </c>
      <c r="Q45" s="114">
        <f t="shared" si="13"/>
        <v>107.32</v>
      </c>
      <c r="R45" s="58"/>
      <c r="S45" s="158">
        <f>SUM(K45*R45/100)</f>
        <v>0</v>
      </c>
      <c r="T45" s="185">
        <f t="shared" si="17"/>
        <v>107.32</v>
      </c>
      <c r="U45" s="194"/>
      <c r="V45" s="145"/>
      <c r="W45" s="195"/>
      <c r="X45" s="195"/>
      <c r="Y45" s="187"/>
      <c r="Z45" s="135">
        <v>396.83</v>
      </c>
      <c r="AA45" s="136">
        <v>325.29000000000002</v>
      </c>
      <c r="AB45" s="46" t="s">
        <v>91</v>
      </c>
    </row>
    <row r="46" spans="1:28" s="6" customFormat="1" ht="15.75" hidden="1" customHeight="1" x14ac:dyDescent="0.2">
      <c r="A46" s="94" t="s">
        <v>47</v>
      </c>
      <c r="B46" s="95"/>
      <c r="C46" s="161"/>
      <c r="D46" s="161"/>
      <c r="E46" s="162"/>
      <c r="F46" s="161"/>
      <c r="G46" s="162"/>
      <c r="H46" s="162"/>
      <c r="I46" s="162"/>
      <c r="J46" s="162"/>
      <c r="K46" s="162"/>
      <c r="L46" s="163"/>
      <c r="M46" s="164"/>
      <c r="N46" s="60"/>
      <c r="O46" s="165"/>
      <c r="P46" s="61"/>
      <c r="Q46" s="166"/>
      <c r="R46" s="60"/>
      <c r="S46" s="167"/>
      <c r="T46" s="168"/>
      <c r="U46" s="169"/>
      <c r="V46" s="170"/>
      <c r="W46" s="167"/>
      <c r="X46" s="167"/>
      <c r="Y46" s="119"/>
      <c r="Z46" s="171"/>
      <c r="AA46" s="172"/>
      <c r="AB46" s="46"/>
    </row>
    <row r="47" spans="1:28" ht="17.25" customHeight="1" thickBot="1" x14ac:dyDescent="0.25">
      <c r="A47" s="96" t="s">
        <v>12</v>
      </c>
      <c r="B47" s="97"/>
      <c r="C47" s="173">
        <f>SUM(C9+C23)</f>
        <v>26104832.099999998</v>
      </c>
      <c r="D47" s="173">
        <f>SUM(D9+D23)</f>
        <v>29259841.66</v>
      </c>
      <c r="E47" s="174">
        <f>SUM(E9+E23)</f>
        <v>27653164.700000003</v>
      </c>
      <c r="F47" s="173">
        <f>SUM(F9+F23)</f>
        <v>9105379.3199999984</v>
      </c>
      <c r="G47" s="174">
        <f>SUM(G9+G23)</f>
        <v>29548245.460000001</v>
      </c>
      <c r="H47" s="174"/>
      <c r="I47" s="174">
        <f t="shared" ref="I47:AA47" si="20">SUM(I9+I23)</f>
        <v>27453751.760000005</v>
      </c>
      <c r="J47" s="174">
        <f t="shared" si="20"/>
        <v>32464945.935999997</v>
      </c>
      <c r="K47" s="174">
        <f t="shared" si="20"/>
        <v>75582447.810000002</v>
      </c>
      <c r="L47" s="175" t="e">
        <f t="shared" si="20"/>
        <v>#REF!</v>
      </c>
      <c r="M47" s="175" t="e">
        <f t="shared" si="20"/>
        <v>#REF!</v>
      </c>
      <c r="N47" s="176">
        <f t="shared" si="20"/>
        <v>0</v>
      </c>
      <c r="O47" s="177">
        <f t="shared" si="20"/>
        <v>42674914.850000009</v>
      </c>
      <c r="P47" s="178">
        <f t="shared" si="20"/>
        <v>0</v>
      </c>
      <c r="Q47" s="179">
        <f t="shared" si="20"/>
        <v>23779347.9595</v>
      </c>
      <c r="R47" s="176">
        <f t="shared" si="20"/>
        <v>0</v>
      </c>
      <c r="S47" s="173">
        <f t="shared" si="20"/>
        <v>9128185.000500001</v>
      </c>
      <c r="T47" s="180">
        <f t="shared" si="20"/>
        <v>32907532.960000001</v>
      </c>
      <c r="U47" s="181" t="e">
        <f t="shared" si="20"/>
        <v>#REF!</v>
      </c>
      <c r="V47" s="175" t="e">
        <f t="shared" si="20"/>
        <v>#REF!</v>
      </c>
      <c r="W47" s="175" t="e">
        <f t="shared" si="20"/>
        <v>#REF!</v>
      </c>
      <c r="X47" s="175" t="e">
        <f t="shared" si="20"/>
        <v>#REF!</v>
      </c>
      <c r="Y47" s="182">
        <f t="shared" si="20"/>
        <v>29385</v>
      </c>
      <c r="Z47" s="183">
        <f t="shared" si="20"/>
        <v>36123429.630000003</v>
      </c>
      <c r="AA47" s="180">
        <f t="shared" si="20"/>
        <v>38775102.160000004</v>
      </c>
    </row>
    <row r="48" spans="1:28" x14ac:dyDescent="0.2">
      <c r="D48" s="42"/>
      <c r="G48" s="62"/>
      <c r="H48" s="62"/>
      <c r="I48" s="62"/>
      <c r="J48" s="62"/>
      <c r="K48" s="62"/>
      <c r="L48" s="6"/>
      <c r="M48" s="6"/>
      <c r="N48" s="19"/>
      <c r="O48" s="14"/>
      <c r="P48" s="19"/>
      <c r="Q48" s="14"/>
      <c r="R48" s="6"/>
      <c r="S48" s="6"/>
      <c r="T48" s="14"/>
    </row>
    <row r="49" spans="1:27" ht="15.75" hidden="1" customHeight="1" thickBot="1" x14ac:dyDescent="0.3">
      <c r="A49" s="4" t="s">
        <v>48</v>
      </c>
      <c r="B49" s="9"/>
      <c r="C49" s="9"/>
      <c r="D49" s="43"/>
      <c r="E49" s="4">
        <v>288330.37</v>
      </c>
      <c r="F49" s="4"/>
      <c r="G49" s="4">
        <v>326619.7</v>
      </c>
      <c r="H49" s="4"/>
      <c r="I49" s="4">
        <v>221547.7</v>
      </c>
      <c r="J49" s="4">
        <v>326619.7</v>
      </c>
      <c r="K49" s="24">
        <v>212070</v>
      </c>
      <c r="L49" s="4"/>
      <c r="M49" s="4"/>
      <c r="N49" s="20"/>
      <c r="O49" s="14"/>
      <c r="P49" s="19"/>
      <c r="Q49" s="14"/>
      <c r="R49" s="6"/>
      <c r="S49" s="6"/>
      <c r="T49" s="6">
        <v>212070</v>
      </c>
      <c r="U49" s="6"/>
      <c r="V49" s="6"/>
      <c r="W49" s="6"/>
      <c r="X49" s="6"/>
      <c r="Y49" s="6"/>
      <c r="Z49" s="25">
        <v>257046.7</v>
      </c>
      <c r="AA49" s="25"/>
    </row>
    <row r="50" spans="1:27" ht="15" hidden="1" customHeight="1" x14ac:dyDescent="0.25">
      <c r="A50" s="4"/>
      <c r="B50" s="9"/>
      <c r="C50" s="9"/>
      <c r="D50" s="43"/>
      <c r="E50" s="4"/>
      <c r="F50" s="4"/>
      <c r="G50" s="4"/>
      <c r="H50" s="4"/>
      <c r="I50" s="4"/>
      <c r="J50" s="4"/>
      <c r="K50" s="4"/>
      <c r="L50" s="4"/>
      <c r="M50" s="4"/>
      <c r="N50" s="20"/>
      <c r="O50" s="14"/>
      <c r="P50" s="19"/>
      <c r="Q50" s="14"/>
      <c r="R50" s="6"/>
      <c r="S50" s="6"/>
      <c r="T50"/>
    </row>
    <row r="51" spans="1:27" ht="15.75" hidden="1" customHeight="1" x14ac:dyDescent="0.25">
      <c r="A51" s="6" t="s">
        <v>49</v>
      </c>
      <c r="B51" s="9"/>
      <c r="C51" s="9"/>
      <c r="D51" s="43"/>
      <c r="E51" s="26">
        <f>E47+E49</f>
        <v>27941495.070000004</v>
      </c>
      <c r="F51" s="26"/>
      <c r="G51" s="26">
        <f t="shared" ref="G51:Y51" si="21">G47+G49</f>
        <v>29874865.16</v>
      </c>
      <c r="H51" s="26"/>
      <c r="I51" s="26">
        <f t="shared" si="21"/>
        <v>27675299.460000005</v>
      </c>
      <c r="J51" s="26">
        <f t="shared" si="21"/>
        <v>32791565.635999996</v>
      </c>
      <c r="K51" s="27">
        <f t="shared" si="21"/>
        <v>75794517.810000002</v>
      </c>
      <c r="L51" s="26" t="e">
        <f t="shared" si="21"/>
        <v>#REF!</v>
      </c>
      <c r="M51" s="26" t="e">
        <f t="shared" si="21"/>
        <v>#REF!</v>
      </c>
      <c r="N51" s="26">
        <f t="shared" si="21"/>
        <v>0</v>
      </c>
      <c r="O51" s="27">
        <f t="shared" si="21"/>
        <v>42674914.850000009</v>
      </c>
      <c r="P51" s="26">
        <f t="shared" si="21"/>
        <v>0</v>
      </c>
      <c r="Q51" s="26">
        <f t="shared" si="21"/>
        <v>23779347.9595</v>
      </c>
      <c r="R51" s="26"/>
      <c r="S51" s="26">
        <f t="shared" si="21"/>
        <v>9128185.000500001</v>
      </c>
      <c r="T51" s="26">
        <f t="shared" ref="T51" si="22">T47+T49</f>
        <v>33119602.960000001</v>
      </c>
      <c r="U51" s="26" t="e">
        <f t="shared" si="21"/>
        <v>#REF!</v>
      </c>
      <c r="V51" s="26" t="e">
        <f t="shared" si="21"/>
        <v>#REF!</v>
      </c>
      <c r="W51" s="26" t="e">
        <f t="shared" si="21"/>
        <v>#REF!</v>
      </c>
      <c r="X51" s="26" t="e">
        <f t="shared" si="21"/>
        <v>#REF!</v>
      </c>
      <c r="Y51" s="26">
        <f t="shared" si="21"/>
        <v>29385</v>
      </c>
      <c r="Z51" s="26">
        <f t="shared" ref="Z51" si="23">Z47+Z49</f>
        <v>36380476.330000006</v>
      </c>
      <c r="AA51" s="26"/>
    </row>
    <row r="52" spans="1:27" ht="12.75" x14ac:dyDescent="0.2">
      <c r="D52" s="215"/>
      <c r="F52" s="101"/>
    </row>
    <row r="53" spans="1:27" x14ac:dyDescent="0.2">
      <c r="A53" s="98"/>
      <c r="B53" s="98"/>
      <c r="C53" s="99"/>
      <c r="D53" s="215"/>
    </row>
    <row r="54" spans="1:27" ht="12.75" x14ac:dyDescent="0.2">
      <c r="D54" s="215"/>
    </row>
    <row r="55" spans="1:27" ht="15.75" x14ac:dyDescent="0.2">
      <c r="D55" s="40"/>
    </row>
    <row r="56" spans="1:27" ht="15.75" x14ac:dyDescent="0.2">
      <c r="D56" s="31"/>
    </row>
    <row r="57" spans="1:27" ht="15.75" x14ac:dyDescent="0.2">
      <c r="D57" s="31"/>
    </row>
    <row r="58" spans="1:27" ht="15.75" x14ac:dyDescent="0.2">
      <c r="D58" s="32"/>
    </row>
    <row r="59" spans="1:27" ht="15.75" x14ac:dyDescent="0.2">
      <c r="D59" s="33"/>
    </row>
    <row r="60" spans="1:27" ht="15.75" x14ac:dyDescent="0.2">
      <c r="D60" s="34"/>
    </row>
    <row r="61" spans="1:27" ht="15.75" x14ac:dyDescent="0.2">
      <c r="D61" s="35"/>
    </row>
    <row r="62" spans="1:27" ht="15.75" x14ac:dyDescent="0.2">
      <c r="D62" s="36"/>
    </row>
    <row r="63" spans="1:27" ht="15.75" x14ac:dyDescent="0.2">
      <c r="D63" s="37"/>
    </row>
    <row r="64" spans="1:27" ht="15.75" x14ac:dyDescent="0.2">
      <c r="D64" s="35"/>
    </row>
    <row r="65" spans="4:4" ht="15.75" x14ac:dyDescent="0.2">
      <c r="D65" s="33"/>
    </row>
    <row r="66" spans="4:4" ht="15.75" x14ac:dyDescent="0.2">
      <c r="D66" s="32"/>
    </row>
    <row r="67" spans="4:4" ht="15.75" x14ac:dyDescent="0.2">
      <c r="D67" s="32"/>
    </row>
    <row r="68" spans="4:4" ht="15.75" x14ac:dyDescent="0.2">
      <c r="D68" s="31"/>
    </row>
    <row r="69" spans="4:4" ht="15.75" x14ac:dyDescent="0.2">
      <c r="D69" s="32"/>
    </row>
    <row r="70" spans="4:4" ht="15.75" x14ac:dyDescent="0.2">
      <c r="D70" s="33"/>
    </row>
    <row r="71" spans="4:4" ht="15.75" x14ac:dyDescent="0.2">
      <c r="D71" s="33"/>
    </row>
    <row r="72" spans="4:4" ht="15.75" x14ac:dyDescent="0.2">
      <c r="D72" s="33"/>
    </row>
    <row r="73" spans="4:4" ht="15.75" x14ac:dyDescent="0.2">
      <c r="D73" s="33"/>
    </row>
    <row r="74" spans="4:4" ht="15.75" x14ac:dyDescent="0.2">
      <c r="D74" s="32"/>
    </row>
    <row r="75" spans="4:4" ht="15.75" x14ac:dyDescent="0.2">
      <c r="D75" s="32"/>
    </row>
    <row r="76" spans="4:4" ht="15.75" x14ac:dyDescent="0.2">
      <c r="D76" s="32"/>
    </row>
    <row r="77" spans="4:4" ht="15.75" x14ac:dyDescent="0.2">
      <c r="D77" s="32"/>
    </row>
    <row r="78" spans="4:4" ht="15.75" x14ac:dyDescent="0.2">
      <c r="D78" s="35"/>
    </row>
    <row r="79" spans="4:4" ht="15.75" x14ac:dyDescent="0.2">
      <c r="D79" s="33"/>
    </row>
    <row r="80" spans="4:4" ht="15.75" x14ac:dyDescent="0.2">
      <c r="D80" s="33"/>
    </row>
    <row r="81" spans="4:4" ht="15.75" x14ac:dyDescent="0.2">
      <c r="D81" s="33"/>
    </row>
    <row r="82" spans="4:4" ht="15.75" x14ac:dyDescent="0.2">
      <c r="D82" s="33"/>
    </row>
    <row r="83" spans="4:4" ht="15.75" x14ac:dyDescent="0.2">
      <c r="D83" s="32"/>
    </row>
    <row r="84" spans="4:4" ht="15.75" x14ac:dyDescent="0.2">
      <c r="D84" s="32"/>
    </row>
    <row r="85" spans="4:4" ht="15.75" x14ac:dyDescent="0.2">
      <c r="D85" s="31"/>
    </row>
  </sheetData>
  <mergeCells count="22">
    <mergeCell ref="A2:Z2"/>
    <mergeCell ref="F5:F7"/>
    <mergeCell ref="D52:D54"/>
    <mergeCell ref="C5:C7"/>
    <mergeCell ref="I5:I7"/>
    <mergeCell ref="G5:G7"/>
    <mergeCell ref="H5:H7"/>
    <mergeCell ref="Z5:Z7"/>
    <mergeCell ref="A3:X3"/>
    <mergeCell ref="A5:A7"/>
    <mergeCell ref="B5:B7"/>
    <mergeCell ref="E5:E7"/>
    <mergeCell ref="J5:J7"/>
    <mergeCell ref="K5:K7"/>
    <mergeCell ref="D5:D7"/>
    <mergeCell ref="AA5:AA7"/>
    <mergeCell ref="U5:X5"/>
    <mergeCell ref="L6:M6"/>
    <mergeCell ref="N6:O6"/>
    <mergeCell ref="P6:T6"/>
    <mergeCell ref="U6:X6"/>
    <mergeCell ref="L5:T5"/>
  </mergeCells>
  <phoneticPr fontId="4" type="noConversion"/>
  <pageMargins left="0.39370078740157483" right="0.39370078740157483" top="0.19685039370078741" bottom="0.19685039370078741" header="0.11811023622047245" footer="0.11811023622047245"/>
  <pageSetup paperSize="8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1</vt:lpstr>
      <vt:lpstr>'доходы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Сиридина О.В.</cp:lastModifiedBy>
  <cp:lastPrinted>2018-11-12T14:24:51Z</cp:lastPrinted>
  <dcterms:created xsi:type="dcterms:W3CDTF">2005-03-15T12:52:29Z</dcterms:created>
  <dcterms:modified xsi:type="dcterms:W3CDTF">2018-11-12T14:24:56Z</dcterms:modified>
</cp:coreProperties>
</file>